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535" activeTab="1"/>
  </bookViews>
  <sheets>
    <sheet name="прил 4" sheetId="1" r:id="rId1"/>
    <sheet name="прил 5" sheetId="2" r:id="rId2"/>
  </sheets>
  <externalReferences>
    <externalReference r:id="rId5"/>
  </externalReferences>
  <definedNames>
    <definedName name="_xlnm._FilterDatabase" localSheetId="0" hidden="1">'прил 4'!$A$17:$G$510</definedName>
    <definedName name="_xlnm._FilterDatabase" localSheetId="1" hidden="1">'прил 5'!$A$15:$G$351</definedName>
    <definedName name="_xlnm.Print_Area" localSheetId="0">'прил 4'!$A$8:$G$510</definedName>
    <definedName name="_xlnm.Print_Area" localSheetId="1">'прил 5'!$A$8:$F$351</definedName>
    <definedName name="_xlnm.Print_Titles" localSheetId="0">'прил 4'!$A:$B,'прил 4'!$15:$17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5'!#REF!</definedName>
    <definedName name="wrn.выпдох." localSheetId="0" hidden="1">{#N/A,#N/A,FALSE,"Вып.доходы"}</definedName>
    <definedName name="wrn.выпдох." hidden="1">{#N/A,#N/A,FALSE,"Вып.доходы"}</definedName>
    <definedName name="Year">'прил 5'!$A$9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<sst xmlns="http://schemas.openxmlformats.org/spreadsheetml/2006/main" count="3367" uniqueCount="423">
  <si>
    <t>№ п/п</t>
  </si>
  <si>
    <t xml:space="preserve">Наименование </t>
  </si>
  <si>
    <t>ГРС</t>
  </si>
  <si>
    <t>Раздел, под-раздел</t>
  </si>
  <si>
    <t>Целевая статья</t>
  </si>
  <si>
    <t>Собрание депутатов Елизовского городского поселения</t>
  </si>
  <si>
    <t>911</t>
  </si>
  <si>
    <t>Общегосударственные вопросы</t>
  </si>
  <si>
    <t>01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</si>
  <si>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</si>
  <si>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</si>
  <si>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</si>
  <si>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</si>
  <si>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</si>
  <si>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</si>
  <si>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/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</si>
  <si>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</si>
  <si>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99 0 00 10010</t>
  </si>
  <si>
    <t>200</t>
  </si>
  <si>
    <t>Иные бюджетные ассигнования</t>
  </si>
  <si>
    <t>800</t>
  </si>
  <si>
    <t>Непрограммные расходы. Заместители председателя представительного органа муниципального образования</t>
  </si>
  <si>
    <t>99 0 00 10040</t>
  </si>
  <si>
    <t xml:space="preserve">Контрольно-счетная палата Елизовского городского поселения 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</si>
  <si>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</si>
  <si>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</si>
  <si>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</si>
  <si>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расходы. Руководитель Контрольно-счетной палаты муниципального образования и его заместители</t>
  </si>
  <si>
    <t>99 0 00 10060</t>
  </si>
  <si>
    <t>Администрация Елизовского городского поселения</t>
  </si>
  <si>
    <t>912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</si>
  <si>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</si>
  <si>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</si>
  <si>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расходы. Глава местной администрации</t>
  </si>
  <si>
    <t>99 0 00 10030</t>
  </si>
  <si>
    <t>Резервные фонды</t>
  </si>
  <si>
    <t>0111</t>
  </si>
  <si>
    <t>Непрограммные расходы. Резервный фонд местной администрации</t>
  </si>
  <si>
    <t>99 0 00 10080</t>
  </si>
  <si>
    <t>Другие общегосударственные вопросы</t>
  </si>
  <si>
    <t>0113</t>
  </si>
  <si>
    <t>Непрограммные расходы. Расходы на реализацию мероприятий, связанных с осуществлением наказов избирателей депутатам Собрания депутатов Елизовского городского поселения</t>
  </si>
  <si>
    <t>99 0 00 60040</t>
  </si>
  <si>
    <t>Социальная политика</t>
  </si>
  <si>
    <t>10</t>
  </si>
  <si>
    <t>Социальное обеспечение населения</t>
  </si>
  <si>
    <t>1003</t>
  </si>
  <si>
    <t>99 0 00 20010</t>
  </si>
  <si>
    <t>Социальное обеспечение и иные выплаты населению</t>
  </si>
  <si>
    <t>300</t>
  </si>
  <si>
    <t>Управление финансов и экономического развития администрации Елизовского городского поселения</t>
  </si>
  <si>
    <t>914</t>
  </si>
  <si>
    <t>Пенсионное обеспечение</t>
  </si>
  <si>
    <t>1001</t>
  </si>
  <si>
    <t>Непрограммные расходы. Доплаты к пенсиям муниципальных служащих</t>
  </si>
  <si>
    <t>99 0 00 20030</t>
  </si>
  <si>
    <t>Управление жилищно-коммунального хозяйства администрации Елизовского городского поселения</t>
  </si>
  <si>
    <t>915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</si>
  <si>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</si>
  <si>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</si>
  <si>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</si>
  <si>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</t>
  </si>
  <si>
    <t>Дорожное хозяйство (дорожные фонды)</t>
  </si>
  <si>
    <t>0409</t>
  </si>
  <si>
    <t>01 0 00 00000</t>
  </si>
  <si>
    <t>01 2 00 00000</t>
  </si>
  <si>
    <t>Жилищно-коммунальное хозяйство</t>
  </si>
  <si>
    <t>05</t>
  </si>
  <si>
    <t>Жилищное хозяйство</t>
  </si>
  <si>
    <t>0501</t>
  </si>
  <si>
    <t>12 0 00 00000</t>
  </si>
  <si>
    <t xml:space="preserve">Основное мероприятие "Выполнение работ по восстановительному ремонту жилых помещений, находящихся в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</si>
  <si>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12 0 01 09990</t>
  </si>
  <si>
    <t>Коммунальное хозяйство</t>
  </si>
  <si>
    <t>0502</t>
  </si>
  <si>
    <t>Непрограммные расходы.</t>
  </si>
  <si>
    <t>10 0 00 00000</t>
  </si>
  <si>
    <t>10 1 00 00000</t>
  </si>
  <si>
    <t xml:space="preserve">Основное мероприятие "Модернизация систем энерго-, теплоснабжения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</si>
  <si>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10 1 02 09990</t>
  </si>
  <si>
    <t>Благоустройство</t>
  </si>
  <si>
    <t>0503</t>
  </si>
  <si>
    <t>Подпрограмма "Современная городская среда в Елизовском городском поселении"</t>
  </si>
  <si>
    <t>01 1 00 00000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</si>
  <si>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</si>
  <si>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99 0 00 70010</t>
  </si>
  <si>
    <t>99 0 00 60010</t>
  </si>
  <si>
    <t xml:space="preserve">Непрограммные расходы. Организация и содержание мест захоронения </t>
  </si>
  <si>
    <t>99 0 00 60020</t>
  </si>
  <si>
    <t>Непрограммные расходы. Перевозка бесхозного имущества на площадку спецхранения</t>
  </si>
  <si>
    <t>99 0 00 60030</t>
  </si>
  <si>
    <t>Непрограммные расходы. Плата за размещение объектов наружного освещения</t>
  </si>
  <si>
    <t>99 0 00 60060</t>
  </si>
  <si>
    <t>Другие вопросы в области жилищно-коммунального хозяйства</t>
  </si>
  <si>
    <t>0505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</si>
  <si>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</si>
  <si>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99 0 00 20050</t>
  </si>
  <si>
    <t>Непрограммные расходы. Расходы на обеспечение деятельности (оказание услуг) МКУ "Служба по развитию жилищно-коммунальной инфраструктуры, благоустройства и транспорта", в том числе на предоставление субсидий</t>
  </si>
  <si>
    <t>99 0 00 70050</t>
  </si>
  <si>
    <t>09 0 00 00000</t>
  </si>
  <si>
    <t xml:space="preserve">Основное мероприятие "Совершенствование организации безопасного движения транспортных средств и пешеходов".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</si>
  <si>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06 0 00 00000</t>
  </si>
  <si>
    <t>06 1 00 00000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</si>
  <si>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</si>
  <si>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</si>
  <si>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</si>
  <si>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99 0 00 10100</t>
  </si>
  <si>
    <t>Управление имущественных отношений администрации Елизовского городского поселения</t>
  </si>
  <si>
    <t>916</t>
  </si>
  <si>
    <t>02 0 00 00000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</si>
  <si>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</si>
  <si>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02 0 01 09990</t>
  </si>
  <si>
    <t xml:space="preserve">Основное мероприятие "Оценка рыночной стоимости объектов муниципальной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</si>
  <si>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02 0 04 09990</t>
  </si>
  <si>
    <t>14 0 00 00000</t>
  </si>
  <si>
    <t xml:space="preserve">Управление архитектуры и градостроительства администрации Елизовского городского поселения </t>
  </si>
  <si>
    <t>918</t>
  </si>
  <si>
    <t xml:space="preserve">Основное мероприятие "Формирование и проведение государственного кадастрового учета земельных участков".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</si>
  <si>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02 0 05 09990</t>
  </si>
  <si>
    <t xml:space="preserve">Основное мероприятие "Формирование и проведение государственного кадастрового учета земельных участков уличной дорожной сети".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</si>
  <si>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02 0 06 09990</t>
  </si>
  <si>
    <t>14 1 00 00000</t>
  </si>
  <si>
    <t>Подпрограмма "Благоустройство территории Елизовского городского поселения"</t>
  </si>
  <si>
    <t>Отдел по культуре, молодежной политике, физической культуре и спорту администрации Елизовского городского поселения</t>
  </si>
  <si>
    <t>919</t>
  </si>
  <si>
    <t>Образование</t>
  </si>
  <si>
    <t>07</t>
  </si>
  <si>
    <t>0707</t>
  </si>
  <si>
    <t>08 0 00 00000</t>
  </si>
  <si>
    <t xml:space="preserve">Основное мероприятие "Вовлечение молодежи в социальную практику и ее информирование о потенциальных возможностях развития".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</si>
  <si>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"Укрепление института молодой семьи".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</si>
  <si>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</t>
  </si>
  <si>
    <t>Культура, кинематография</t>
  </si>
  <si>
    <t>08</t>
  </si>
  <si>
    <t>Культура</t>
  </si>
  <si>
    <t>0801</t>
  </si>
  <si>
    <t>04 0 00 00000</t>
  </si>
  <si>
    <t>Физическая культура и спорт</t>
  </si>
  <si>
    <t>11</t>
  </si>
  <si>
    <t>Физическая культура</t>
  </si>
  <si>
    <t>1101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</si>
  <si>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</si>
  <si>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99 0 00 70040</t>
  </si>
  <si>
    <t>08 1 00 00000</t>
  </si>
  <si>
    <t>08 1 01 09990</t>
  </si>
  <si>
    <t xml:space="preserve">Управление делами администрации Елизовского городского поселения </t>
  </si>
  <si>
    <t>920</t>
  </si>
  <si>
    <t>99 0 00 40080</t>
  </si>
  <si>
    <t>Национальная безопасность и правоохранительная деятельность</t>
  </si>
  <si>
    <t>03</t>
  </si>
  <si>
    <t>07 0 00 00000</t>
  </si>
  <si>
    <t>Основное мероприятие "Повышение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</si>
  <si>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07 0 01 09990</t>
  </si>
  <si>
    <t>Непрограммые расходы. Расходы на обеспечение деятельности (оказание услуг) МКУ "Служба по обеспечению деятельности администрации Елизовского городского поселения", в том числе на предоставление субсидий</t>
  </si>
  <si>
    <t>99 0 00 70060</t>
  </si>
  <si>
    <t>ИТОГО РАСХОДОВ:</t>
  </si>
  <si>
    <t xml:space="preserve">Содержание ОМС </t>
  </si>
  <si>
    <t>Установленный норматив</t>
  </si>
  <si>
    <t>До предельного норматива</t>
  </si>
  <si>
    <t>Доходы</t>
  </si>
  <si>
    <t>Дефицит</t>
  </si>
  <si>
    <t>Предельный без остатка</t>
  </si>
  <si>
    <t>Предельный с остатком</t>
  </si>
  <si>
    <t>До предельного без остатка</t>
  </si>
  <si>
    <t>До предельного с остатком</t>
  </si>
  <si>
    <t>Наименование</t>
  </si>
  <si>
    <t>Раздел</t>
  </si>
  <si>
    <t>Подраздел</t>
  </si>
  <si>
    <t>Вид расходов</t>
  </si>
  <si>
    <t>2</t>
  </si>
  <si>
    <t>3</t>
  </si>
  <si>
    <t>02</t>
  </si>
  <si>
    <t>Непрограммные расходы. Председатель представительного органа муниципального образования и его заместители</t>
  </si>
  <si>
    <t>06</t>
  </si>
  <si>
    <t>13</t>
  </si>
  <si>
    <t>09</t>
  </si>
  <si>
    <t>Всего</t>
  </si>
  <si>
    <t xml:space="preserve">Основное мероприятие "Содержание муниципального имущества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</si>
  <si>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поселения"</t>
  </si>
  <si>
    <t>Подпрограмма А "Региональная адресная программа по переселению граждан из аварийного жилищного фонда в Елизовском городском поселении"</t>
  </si>
  <si>
    <t>14 A 00 00000</t>
  </si>
  <si>
    <t>02 0 07 09990</t>
  </si>
  <si>
    <t>Подпрограмма "Стимулирование развития жилищного строительства в Елизовском городском поселении"</t>
  </si>
  <si>
    <t xml:space="preserve">Муниципальная программа "Формирование современной городской среды в Елизовском городском поселении" </t>
  </si>
  <si>
    <t>Муниципальная программа "Физическая культура, спорт, молодежная политика, отдых  и оздоровление детей в Елизовском городском поселении"</t>
  </si>
  <si>
    <t>Подпрограмма "Развитие массовой физической культуры и спорта в Елизовском городском поселении"</t>
  </si>
  <si>
    <t>08 1 02 09990</t>
  </si>
  <si>
    <t>08 2 00 00000</t>
  </si>
  <si>
    <t>Подпрограмма "Молодежь Елизовского городского поселения"</t>
  </si>
  <si>
    <t>08 2 01 09990</t>
  </si>
  <si>
    <t>08 2 02 09990</t>
  </si>
  <si>
    <t>Непрограммные расходы. Расходы на обеспечение деятельности (оказание услуг) МАУ культуры Киноконцертный досуговый центр "Гейзер", в том числе на предоставление субсидий</t>
  </si>
  <si>
    <t>99 0 00 70020</t>
  </si>
  <si>
    <t>Муниципальная программа "Развитие культуры в Елизовском городском поселении"</t>
  </si>
  <si>
    <t>Подпрограмма "Традиционная культура и народное творчество в Елизовском городском поселении"</t>
  </si>
  <si>
    <t>04 1 00 00000</t>
  </si>
  <si>
    <t>04 1 01 09990</t>
  </si>
  <si>
    <t>14 3 00 00000</t>
  </si>
  <si>
    <t xml:space="preserve"> - расходы за счет средств местного бюджета</t>
  </si>
  <si>
    <t xml:space="preserve"> - расходы за счет средств краевого бюджета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</si>
  <si>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</si>
  <si>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 xml:space="preserve">Основное мероприятие "Совершенствование материально-технической базы для занятий физической культурой и спортом".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</si>
  <si>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"Профилактика правонарушений, преступлений и повышение безопасности дорожного движения в Елизовском городском поселении"</t>
  </si>
  <si>
    <t>09 1 00 00000</t>
  </si>
  <si>
    <t>09 1 02 09990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</si>
  <si>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</si>
  <si>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0408</t>
  </si>
  <si>
    <t>Транспорт</t>
  </si>
  <si>
    <t>Подпрограмма "Профилактика правонарушений, преступлений и повышение безопасности дорожного движения в Елизовском городском поселении в 2020-2022 году"</t>
  </si>
  <si>
    <t>0412</t>
  </si>
  <si>
    <t>Другие вопросы в области национальной экономики</t>
  </si>
  <si>
    <t>Подпрограмма "Энергосбережение и повышение энергетической эффективности объектов жилищного фонда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</si>
  <si>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</si>
  <si>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</t>
  </si>
  <si>
    <t>10 1 03 4006В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</si>
  <si>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территории".</t>
  </si>
  <si>
    <t>10 1 01 4006В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</si>
  <si>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</t>
  </si>
  <si>
    <t>10 1 04 09990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</si>
  <si>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</si>
  <si>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вопросам похоронного дела</t>
  </si>
  <si>
    <t>99 0 00 10160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</si>
  <si>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</t>
  </si>
  <si>
    <t>Подпрограмма "Развитие дорожного хозяйства в Елизовском городском поселении"</t>
  </si>
  <si>
    <t>12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</si>
  <si>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</si>
  <si>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Непрограммные расходы. Электроэнергия уличного освещения, электроснабжение светофорных объектов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</si>
  <si>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</si>
  <si>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</t>
  </si>
  <si>
    <t>09 1 02 4006К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</si>
  <si>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</si>
  <si>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 - расходы за счет средств федерального бюджета</t>
  </si>
  <si>
    <t>Подпрограмма "Развитие дорожного хозяйства в Елизовском городском поселении". Решение вопросов местного значения городского поселения в рамках соответствующей государственной программы Камчатского края</t>
  </si>
  <si>
    <t>Коды</t>
  </si>
  <si>
    <t>Молодежная политика</t>
  </si>
  <si>
    <t xml:space="preserve">Непрограммные расходы. Выплаты несоциального характера гражданам, удостоенным звания "Почетный гражданин города "Елизово"        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</si>
  <si>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</si>
  <si>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01 2 02 09990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</si>
  <si>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</si>
  <si>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</si>
  <si>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</si>
  <si>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"Управление и распоряжение муниципальным имуществом в Елизовском городском поселении"</t>
  </si>
  <si>
    <t>Муниципальная программа "Развитие транспортной системы Елизовского городского поселения"</t>
  </si>
  <si>
    <t>09 1 01 4006К</t>
  </si>
  <si>
    <t xml:space="preserve">915 </t>
  </si>
  <si>
    <t>99 0 00 40240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</si>
  <si>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</si>
  <si>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01 2 01 4006Ц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</si>
  <si>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</t>
  </si>
  <si>
    <t>06 1 01 4006Г</t>
  </si>
  <si>
    <t>0605</t>
  </si>
  <si>
    <t>11 0 00 00000</t>
  </si>
  <si>
    <t>11 2 00 00000</t>
  </si>
  <si>
    <t>Другие вопросы в области охраны окружающей среды</t>
  </si>
  <si>
    <t>Муниципальная программа "Обращение с отходами производства и потребления  в  Елизовском городском поселении"</t>
  </si>
  <si>
    <t>Подпрограмма "Развитие комплексной системы обращения с твердыми коммунальными отходами на территории Елизовского городского поселения"</t>
  </si>
  <si>
    <t>99 0 00 40130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</si>
  <si>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</si>
  <si>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Охрана окружающей среды</t>
  </si>
  <si>
    <t>Подпрограмма "Обеспечение условий реализации программы"</t>
  </si>
  <si>
    <t>04 2 00 00000</t>
  </si>
  <si>
    <t>14 A 02 09990</t>
  </si>
  <si>
    <t xml:space="preserve">Основное мероприятие "Снос аварийных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</si>
  <si>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"Обеспечение жильем молодых семей в Елизовском городском поселении"</t>
  </si>
  <si>
    <t>-ИМТ на софинансирование выполнения расходных обязательств поселения</t>
  </si>
  <si>
    <t xml:space="preserve"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</si>
  <si>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</si>
  <si>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"Физическое воспитание и обеспечение организации и проведения физкультурных и массовых спортивных мероприятий".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</si>
  <si>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"Доставка счетов-квитанций физическим лицам".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</si>
  <si>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02 0 10 09990</t>
  </si>
  <si>
    <t>01 1 F2 55550</t>
  </si>
  <si>
    <t>14 3 01 L4970</t>
  </si>
  <si>
    <t>09 1 02 Т006К</t>
  </si>
  <si>
    <t>01 2 01 Т006Ц</t>
  </si>
  <si>
    <t>06 1 01 Т006Г</t>
  </si>
  <si>
    <t>10 1 03 Т006В</t>
  </si>
  <si>
    <t>10 1 01 Т006В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</si>
  <si>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 (софинсирование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</si>
  <si>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</si>
  <si>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</si>
  <si>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-ИМТ на софинансирование расходов по оплате коммунальных услуг муниципальных учреждений</t>
  </si>
  <si>
    <t>тыс. руб.</t>
  </si>
  <si>
    <t>Подпрограмма "Ликвидация мест стихийного несанкционированного размещения отходов производства и потребления на территории Елизовского городского поселения"</t>
  </si>
  <si>
    <t>11 1 00 00000</t>
  </si>
  <si>
    <t xml:space="preserve">Основное мероприятие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</si>
  <si>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11 1 01 09990</t>
  </si>
  <si>
    <t xml:space="preserve">Годовой объем ассигнований </t>
  </si>
  <si>
    <t>Муниципальная программа "Доступная среда для инвалидов и других маломобильных групп населения в Елизовском городском поселении"</t>
  </si>
  <si>
    <t>05 0 00 00000</t>
  </si>
  <si>
    <t>тыс.руб.</t>
  </si>
  <si>
    <t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Реализация мероприятий по обеспечению жильем молодых семей</t>
  </si>
  <si>
    <t>Региональный проект "Формирование комфортной городской среды". Реализация программ формирования современной городской среды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</si>
  <si>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муниципального жилищного фонда и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</si>
  <si>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</si>
  <si>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01 1 02 09990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</si>
  <si>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</si>
  <si>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Непрограммные расходы. Расходы на обеспечение деятельности (оказание услуг) МКУ "Департамент строительства города Елизово", в том числе на предоставление субсидий</t>
  </si>
  <si>
    <t>99 0 00 70030</t>
  </si>
  <si>
    <t>Непрограммные расходы.Расходы по исполнительному производству</t>
  </si>
  <si>
    <t>99 0 00 10220</t>
  </si>
  <si>
    <t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 Решение вопросов местного значения городского поселения в рамках соответствующей государственной программы Камчатского края</t>
  </si>
  <si>
    <t>11 1 02 4006Ф</t>
  </si>
  <si>
    <t>11 1 02 Т006Ф</t>
  </si>
  <si>
    <t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</si>
  <si>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"Выявление случаев причинения вреда окружающей среде при размещении бесхозяйственных отходов шин, покрышек".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</si>
  <si>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Основное мероприятие "Выявление случаев причинения вреда окружающей среде при размещении бесхозяйственных отходов шин, покрышек". Решение вопросов местного значения городского поселения в рамках соответствующей государственной программы Камчатского края </t>
  </si>
  <si>
    <t>11 1 03 Т006Ф</t>
  </si>
  <si>
    <t>11 1 03 4006Ф</t>
  </si>
  <si>
    <t xml:space="preserve"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</t>
  </si>
  <si>
    <t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</si>
  <si>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11 2 01 4006Ф</t>
  </si>
  <si>
    <t>11 2 01 Т006Ф</t>
  </si>
  <si>
    <t xml:space="preserve">Основное мероприятие "Содержание муниципального имущества Елизовского городского поселения".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</si>
  <si>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Подпрограмма "Развитие инфраструктуры в сфере культуры на территории Елизовского городского поселения"</t>
  </si>
  <si>
    <t>14</t>
  </si>
  <si>
    <t>Прочие межбюджетные трансферты общего характера</t>
  </si>
  <si>
    <t>1403</t>
  </si>
  <si>
    <t>Основное мероприятие "Иные межбюджетные транферты на решение вопросов местного значения в части реализации полномочий по участию в предупреждении и ликвидации последствий чрезвычайных ситуаций". Исполнение отдельных переданных полномочий Елизовского городского поселения</t>
  </si>
  <si>
    <t>07 0 03 80020</t>
  </si>
  <si>
    <t>500</t>
  </si>
  <si>
    <t>Межбюджетные трансферты</t>
  </si>
  <si>
    <t>Непрограммные расходы. Обеспечение мер социальной поддержки по ремонту квартир отдельным категориям граждан, проживающим на территории Елизовского городского поселения</t>
  </si>
  <si>
    <t>14 4 00 00000</t>
  </si>
  <si>
    <t>Подпрограмма "Переселение граждан из непригодных для проживания жилых помещений муниципального жилищного фонда в Елизовском городском поселении"</t>
  </si>
  <si>
    <t>14 4 03 09990</t>
  </si>
  <si>
    <t>Непрограммные расходы. Расходы по исполнительному производству</t>
  </si>
  <si>
    <t>05 0 07 09990</t>
  </si>
  <si>
    <t xml:space="preserve">Расходы по исполнительному производству </t>
  </si>
  <si>
    <t>Подпрограмма "Переселение граждан из непригодных для проживания жилых помещений муниципального жилищного фонда в Елизовском городском поселении</t>
  </si>
  <si>
    <t xml:space="preserve"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       </t>
  </si>
  <si>
    <t xml:space="preserve"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 </t>
  </si>
  <si>
    <t xml:space="preserve">Основное мероприятие "Обследование технического состояния жилых помещений и многоквартирных домов на предмет непригодности и аварийности".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</si>
  <si>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"Противодействие коррупции в администрации Елизовского городского поселения"</t>
  </si>
  <si>
    <t>19 0 00 00000</t>
  </si>
  <si>
    <t>19 0 01 09990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</si>
  <si>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 на 2023 год</t>
  </si>
  <si>
    <t>Ведомственная структура расходов  бюджета Елизовского городского поселения на 2023 год</t>
  </si>
  <si>
    <t>Закупка товаров, работ и услуг для обеспечения государственных (муниципальных) нужд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</si>
  <si>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</t>
  </si>
  <si>
    <t>01 1 F2 54240</t>
  </si>
  <si>
    <t>Капитальные вложения в объекты государственной (муниципальной) собственности</t>
  </si>
  <si>
    <t>10 1 05 98001</t>
  </si>
  <si>
    <t>400</t>
  </si>
  <si>
    <t xml:space="preserve">Основное мероприятие "Обучение по дополнительным профессиональным программам в области противодействия коррупции".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</si>
  <si>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06 1 03 09990</t>
  </si>
  <si>
    <t xml:space="preserve">Основное мероприятие "Строительство, реконструкция автомобильных дорог и межквартальных проездов в Елизовском городском поселении".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</si>
  <si>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-ИМТ на финансовое обеспечение переданных полномочий Елизовского муниципального района по регулированию правоотношений, связанных с передачей жилых помещений муниципального жилищного фонда Елизовского муниципального района в собственность граждан в порядке их приватизации </t>
  </si>
  <si>
    <t xml:space="preserve">-ИМТ на стимулирование достижений наилучших показателей деятельности      </t>
  </si>
  <si>
    <t>14 1 F1 70015</t>
  </si>
  <si>
    <t>Региональный проект "Жилье". Реализация проектов по развитию территорий, расположенных в границах населенных пунктов, предусматривающих строительство жилья</t>
  </si>
  <si>
    <t>99 0 00 20060</t>
  </si>
  <si>
    <t>Непрограммные расходы. Обеспечение мер социальной поддержки на оплату жилых помещений и коммунальных услуг отдельным категориям граждан, проживающим на территории Елизовского городского поселения</t>
  </si>
  <si>
    <t xml:space="preserve">Основное мероприятие "Изготовление и монтаж приспособления общего имущества многоквартирного дома к нуждам инвалида-колясочника".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</si>
  <si>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Межбюджетные трансферты общего характера бюджетам субъектов Российской Федерации и муниципальных образований</t>
  </si>
  <si>
    <t>01 2 03 09990</t>
  </si>
  <si>
    <t>Основное мероприятие "Благоустройство территорий по итогам голосования в рамках проекта "Решаем вместе".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</si>
  <si>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10 1 05 S8001</t>
  </si>
  <si>
    <t>05 0 05 09990</t>
  </si>
  <si>
    <t>Основное мероприятие "Изготовление технического плана многоквартирного дома по адресу: г.Елизово, ул. Рябикова, 18".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</si>
  <si>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01 2 04 55055</t>
  </si>
  <si>
    <t>0314</t>
  </si>
  <si>
    <t>Другие вопросы в области национальной безопасности и правоохранительной деятельности</t>
  </si>
  <si>
    <t>09 1 01 T006К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</si>
  <si>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края.</t>
  </si>
  <si>
    <t xml:space="preserve">«Приложение 4 
к   муниципальному нормативному правовому акту от  21 декабря 2022 года № 60 -НПА 
«О бюджете Елизовского городского поселения на 2023 год и плановый период 2024-2025 годов», 
принятому Решением Собрания депутатов Елизовского городского поселения от  21 декабря 2022 года  № 224»
</t>
  </si>
  <si>
    <t>Региональный проект "Формирование комфортной городской среды".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</si>
  <si>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"Предоставление иных межбюджетных трансфертов местным бюджетам на реализацию отдельных мероприятий Подпрограммы 2 в части выполнения мероприятий плана социального развития центров экономического роста Камчатского края". 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</si>
  <si>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Основное мероприятие "Проведение мероприятий в рамках заключенных концессионных соглашений". Реализация инфраструктурного проекта в целях обеспечения связанного с ним инвестиционного проекта "Жилищное строительство в г. Елизово (Район котельной № 20 по ул. Деркачева)"</t>
  </si>
  <si>
    <t>Основное мероприятие "Проведение мероприятий в рамках заключенных концессионных соглашений".Реализация инфраструктурного проекта в целях обеспечения связанного с ним инвестиционного проекта "Жилищное строительство в г. Елизово (Район котельной № 20 по ул. Деркачева)"</t>
  </si>
  <si>
    <t>«Приложение 5 
к   муниципальному нормативному правовому акту от  21 декабря 2022 года № 60 -НПА 
«О бюджете Елизовского городского поселения на 2023 год и плановый период 2024-2025 годов», 
принятому Решением Собрания депутатов Елизовского городского поселения от  21 декабря 2022 года  № 224»</t>
  </si>
  <si>
    <t>».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</si>
  <si>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</t>
  </si>
  <si>
    <t xml:space="preserve">Основное мероприятие "Оказание услуг по финансовой аренде (лизингу) специализированной технике".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</si>
  <si>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06 1 04 09990</t>
  </si>
  <si>
    <t xml:space="preserve">Основное мероприятие "Транспортное планирование, обследование, диагностика и паспортизация автомобильных дорог".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</si>
  <si>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06 1 05 09990</t>
  </si>
  <si>
    <t>0203</t>
  </si>
  <si>
    <t>99 0 00 10090</t>
  </si>
  <si>
    <t>Национальная оборона</t>
  </si>
  <si>
    <t>Непрограммные расходы. Расходы, связанные с реализацией специальной меры в сфере экономики.</t>
  </si>
  <si>
    <t>Мобилизационная и вневойсковая подготовка</t>
  </si>
  <si>
    <t>99 0 00 70070</t>
  </si>
  <si>
    <t>Непрограммные расходы. Расходы на обеспечение деятельности (оказание услуг) МБУ "Служба по развитию жилищно-коммунальной инфраструктуры, благоустройства и транспорта", в том числе на предоставление субсидий</t>
  </si>
  <si>
    <t>14 А F3 67484</t>
  </si>
  <si>
    <t>-расходы за счет средств краевого бюджета</t>
  </si>
  <si>
    <t>14 А F3 6748S</t>
  </si>
  <si>
    <t>Муниципальная программа "Формирование современной городской среды в Елизовском городском поселении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</si>
  <si>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</si>
  <si>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04 2 01 L4670</t>
  </si>
  <si>
    <t xml:space="preserve">Основное мероприятие "Проведение мероприятия по укреплению материально-технической базы муниципальных учреждений культуры". Субсидии на обеспечение развития и укрепления материально-технической базы домов культуры в населенных пунктах с числом жителей до 50 тысяч человек            </t>
  </si>
  <si>
    <t>- Расходы на реализацию мероприятий, свзанных с осуществлением наказов избирателей депутатам Собрания депутатов ЕГП</t>
  </si>
  <si>
    <t xml:space="preserve">Муниципальная программа "Капитальный ремонт объектов муниципального жилищного фонда в Елизовском городском поселении" </t>
  </si>
  <si>
    <t>18 0 00 00000</t>
  </si>
  <si>
    <t xml:space="preserve">Подпрограмма "Капитальный ремонт объектов муниципального жилищного фонда в Елизовском городском поселении" </t>
  </si>
  <si>
    <t>18 1 00 00000</t>
  </si>
  <si>
    <t xml:space="preserve">Основное мероприятие "Выполнение работ по капитальному ремонту объектов муниципального жилого фонда".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</t>
  </si>
  <si>
    <t>18 1 01 09990</t>
  </si>
  <si>
    <t>Закупка товаров, работ и услуг для государственных (муниципальных) нужд</t>
  </si>
  <si>
    <t>99 0 00 20040</t>
  </si>
  <si>
    <t xml:space="preserve">Непрограммные расходы. Предоставление гарантий гражданам, удостоенным звания "Почетный гражданин города Елизово"        </t>
  </si>
  <si>
    <t>99 0 00 10200</t>
  </si>
  <si>
    <t xml:space="preserve">Непрограммные расходы. Осуществление расходов за счет средств резервного фонда администрации Елизовского городского поселения        </t>
  </si>
  <si>
    <t xml:space="preserve">Непрограммные расходы.Расходы по исполнительному производству. Иные бюджетные ассигнования.        </t>
  </si>
  <si>
    <t>01 1 F2 5424F</t>
  </si>
  <si>
    <t>Муниципальная программа "Переселение граждан из аварийного жилищного фонда на территории Елизовского городского поселения"</t>
  </si>
  <si>
    <t>20 0 00 00000</t>
  </si>
  <si>
    <t>20 0 F3 67483</t>
  </si>
  <si>
    <t>20 0 F3 67484</t>
  </si>
  <si>
    <t>-расходы за счет средств Фонда развития территорий</t>
  </si>
  <si>
    <t>20 0 F3 6748S</t>
  </si>
  <si>
    <t>14 А F3 67483</t>
  </si>
  <si>
    <t xml:space="preserve">-ИМТ на переданные полномочия   </t>
  </si>
  <si>
    <t>Непрограммные расходы. Расходы, связанные с реализацией специальной меры в сфере экономики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</si>
  <si>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</si>
  <si>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Основное мероприятие "Переселение граждан из аварийного жилищного фонда, признанного таковым в период с 1 января 2017 года до 1 января 2022 года".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</si>
  <si>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Основное мероприятие "Переселение граждан из аварийного жилищного фонда, признанного таковым в период с 1 января 2017 года до 1 января 2022 года".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</si>
  <si>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</si>
  <si>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Основное мероприятие "Переселение граждан из аварийного жилищного фонда, признанного таковым в период с 1 января 2017 года до 1 января 2022 года".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</si>
  <si>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</si>
  <si>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Основное мероприятие "Проведение мероприятий в рамках заключенных концессионных соглашений".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</si>
  <si>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10 1 05 09990</t>
  </si>
  <si>
    <t>Приложение 7
к  муниципальному нормативному правовому акту от 14 сентября 2023  № 116 -НПА 
«О внесении изменений в муниципальный нормативный правовой акт «О бюджете Елизовского городского поселения  на 2023 год  и                                                                                               плановый период 2024-2025 годов» от 21.12.2022 № 60-НПА,  принятому Решением Собрания депутатов 
Елизовского  городского поселения от 21.12.2022 № 224»</t>
  </si>
  <si>
    <t>Приложение 9
к  муниципальному нормативному правовому акту от 14 сентября 2023 года  № 116 -НПА 
«О внесении изменений в муниципальный нормативный правовой акт «О бюджете Елизовского городского поселения  на 2023 год  и                                                                                              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</si>
</sst>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87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0"/>
      <name val="Times New Roman"/>
      <family val="1"/>
    </font>
    <font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i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 CYR"/>
      <family val="2"/>
    </font>
    <font>
      <b/>
      <sz val="12"/>
      <color indexed="8"/>
      <name val="Times New Roman CYR"/>
      <family val="2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6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b/>
      <sz val="11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i/>
      <sz val="16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2" borderId="2" applyNumberFormat="0" applyAlignment="0" applyProtection="0"/>
    <xf numFmtId="0" fontId="66" fillId="2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43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0" borderId="7" applyNumberFormat="0" applyAlignment="0" applyProtection="0"/>
    <xf numFmtId="0" fontId="27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32" fillId="0" borderId="0">
      <alignment/>
      <protection/>
    </xf>
    <xf numFmtId="0" fontId="30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2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25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7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75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/>
    </xf>
    <xf numFmtId="0" fontId="26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wrapText="1"/>
    </xf>
    <xf numFmtId="49" fontId="26" fillId="26" borderId="10" xfId="0" applyNumberFormat="1" applyFont="1" applyFill="1" applyBorder="1" applyAlignment="1">
      <alignment horizontal="center" wrapText="1"/>
    </xf>
    <xf numFmtId="184" fontId="26" fillId="26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wrapText="1"/>
    </xf>
    <xf numFmtId="185" fontId="2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20" fillId="0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left" vertical="center" wrapText="1"/>
    </xf>
    <xf numFmtId="49" fontId="20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left" vertical="center" wrapText="1"/>
    </xf>
    <xf numFmtId="0" fontId="20" fillId="25" borderId="10" xfId="0" applyNumberFormat="1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vertical="center" wrapText="1"/>
    </xf>
    <xf numFmtId="0" fontId="77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/>
    </xf>
    <xf numFmtId="184" fontId="20" fillId="0" borderId="10" xfId="0" applyNumberFormat="1" applyFont="1" applyFill="1" applyBorder="1" applyAlignment="1">
      <alignment horizontal="center"/>
    </xf>
    <xf numFmtId="184" fontId="20" fillId="25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/>
    </xf>
    <xf numFmtId="0" fontId="78" fillId="25" borderId="10" xfId="0" applyFont="1" applyFill="1" applyBorder="1" applyAlignment="1">
      <alignment horizontal="center" vertical="center" wrapText="1"/>
    </xf>
    <xf numFmtId="0" fontId="76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184" fontId="26" fillId="26" borderId="10" xfId="61" applyNumberFormat="1" applyFont="1" applyFill="1" applyBorder="1" applyAlignment="1" applyProtection="1">
      <alignment horizontal="center"/>
      <protection locked="0"/>
    </xf>
    <xf numFmtId="0" fontId="26" fillId="27" borderId="10" xfId="0" applyFont="1" applyFill="1" applyBorder="1" applyAlignment="1" quotePrefix="1">
      <alignment horizontal="left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184" fontId="20" fillId="25" borderId="12" xfId="0" applyNumberFormat="1" applyFont="1" applyFill="1" applyBorder="1" applyAlignment="1">
      <alignment horizontal="right" wrapText="1"/>
    </xf>
    <xf numFmtId="184" fontId="20" fillId="0" borderId="10" xfId="0" applyNumberFormat="1" applyFont="1" applyFill="1" applyBorder="1" applyAlignment="1" applyProtection="1">
      <alignment horizontal="center"/>
      <protection locked="0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0" fontId="82" fillId="0" borderId="0" xfId="0" applyFont="1" applyAlignment="1">
      <alignment horizontal="left"/>
    </xf>
    <xf numFmtId="0" fontId="26" fillId="26" borderId="10" xfId="0" applyFont="1" applyFill="1" applyBorder="1" applyAlignment="1">
      <alignment horizontal="left" wrapText="1"/>
    </xf>
    <xf numFmtId="49" fontId="20" fillId="25" borderId="0" xfId="0" applyNumberFormat="1" applyFont="1" applyFill="1" applyAlignment="1">
      <alignment horizontal="center"/>
    </xf>
    <xf numFmtId="49" fontId="20" fillId="25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49" fontId="83" fillId="0" borderId="0" xfId="0" applyNumberFormat="1" applyFont="1" applyFill="1" applyBorder="1" applyAlignment="1">
      <alignment horizontal="center"/>
    </xf>
    <xf numFmtId="49" fontId="84" fillId="0" borderId="0" xfId="0" applyNumberFormat="1" applyFont="1" applyFill="1" applyBorder="1" applyAlignment="1">
      <alignment horizontal="center"/>
    </xf>
    <xf numFmtId="49" fontId="83" fillId="0" borderId="0" xfId="0" applyNumberFormat="1" applyFont="1" applyFill="1" applyBorder="1" applyAlignment="1">
      <alignment horizontal="center" wrapText="1"/>
    </xf>
    <xf numFmtId="184" fontId="84" fillId="0" borderId="0" xfId="0" applyNumberFormat="1" applyFont="1" applyFill="1" applyBorder="1" applyAlignment="1">
      <alignment horizontal="center"/>
    </xf>
    <xf numFmtId="49" fontId="84" fillId="0" borderId="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184" fontId="26" fillId="25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horizontal="center" vertical="center"/>
    </xf>
    <xf numFmtId="184" fontId="34" fillId="0" borderId="0" xfId="0" applyNumberFormat="1" applyFont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49" fontId="35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 horizontal="center" vertical="center"/>
    </xf>
    <xf numFmtId="184" fontId="33" fillId="0" borderId="0" xfId="0" applyNumberFormat="1" applyFont="1" applyBorder="1" applyAlignment="1">
      <alignment horizontal="right"/>
    </xf>
    <xf numFmtId="0" fontId="36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 wrapText="1"/>
    </xf>
    <xf numFmtId="3" fontId="20" fillId="25" borderId="13" xfId="0" applyNumberFormat="1" applyFont="1" applyFill="1" applyBorder="1" applyAlignment="1">
      <alignment horizontal="center" vertical="center" wrapText="1"/>
    </xf>
    <xf numFmtId="0" fontId="26" fillId="27" borderId="10" xfId="53" applyNumberFormat="1" applyFont="1" applyFill="1" applyBorder="1" applyAlignment="1">
      <alignment horizontal="center" vertical="center"/>
      <protection/>
    </xf>
    <xf numFmtId="49" fontId="26" fillId="27" borderId="10" xfId="53" applyNumberFormat="1" applyFont="1" applyFill="1" applyBorder="1" applyAlignment="1">
      <alignment horizontal="left" vertical="top" wrapText="1"/>
      <protection/>
    </xf>
    <xf numFmtId="49" fontId="26" fillId="27" borderId="10" xfId="53" applyNumberFormat="1" applyFont="1" applyFill="1" applyBorder="1" applyAlignment="1">
      <alignment horizontal="center" vertical="center"/>
      <protection/>
    </xf>
    <xf numFmtId="184" fontId="26" fillId="27" borderId="10" xfId="0" applyNumberFormat="1" applyFont="1" applyFill="1" applyBorder="1" applyAlignment="1">
      <alignment horizontal="center" vertical="center"/>
    </xf>
    <xf numFmtId="0" fontId="33" fillId="0" borderId="10" xfId="53" applyNumberFormat="1" applyFont="1" applyFill="1" applyBorder="1" applyAlignment="1">
      <alignment horizontal="center" vertical="center"/>
      <protection/>
    </xf>
    <xf numFmtId="49" fontId="33" fillId="0" borderId="10" xfId="53" applyNumberFormat="1" applyFont="1" applyFill="1" applyBorder="1" applyAlignment="1">
      <alignment horizontal="left" vertical="top" wrapText="1"/>
      <protection/>
    </xf>
    <xf numFmtId="49" fontId="33" fillId="25" borderId="10" xfId="53" applyNumberFormat="1" applyFont="1" applyFill="1" applyBorder="1" applyAlignment="1">
      <alignment horizontal="center" vertical="center"/>
      <protection/>
    </xf>
    <xf numFmtId="184" fontId="33" fillId="25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25" borderId="10" xfId="53" applyNumberFormat="1" applyFont="1" applyFill="1" applyBorder="1" applyAlignment="1" applyProtection="1">
      <alignment horizontal="center" vertical="center"/>
      <protection locked="0"/>
    </xf>
    <xf numFmtId="185" fontId="33" fillId="0" borderId="10" xfId="53" applyNumberFormat="1" applyFont="1" applyFill="1" applyBorder="1" applyAlignment="1">
      <alignment horizontal="left" vertical="top" wrapText="1"/>
      <protection/>
    </xf>
    <xf numFmtId="0" fontId="33" fillId="0" borderId="10" xfId="53" applyNumberFormat="1" applyFont="1" applyFill="1" applyBorder="1" applyAlignment="1">
      <alignment horizontal="left" vertical="top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center" vertical="center"/>
    </xf>
    <xf numFmtId="49" fontId="26" fillId="26" borderId="10" xfId="53" applyNumberFormat="1" applyFont="1" applyFill="1" applyBorder="1" applyAlignment="1">
      <alignment horizontal="center" vertical="center"/>
      <protection/>
    </xf>
    <xf numFmtId="184" fontId="26" fillId="26" borderId="10" xfId="0" applyNumberFormat="1" applyFont="1" applyFill="1" applyBorder="1" applyAlignment="1">
      <alignment horizontal="center" vertical="center"/>
    </xf>
    <xf numFmtId="49" fontId="85" fillId="25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center" vertical="center" wrapText="1"/>
    </xf>
    <xf numFmtId="184" fontId="20" fillId="25" borderId="10" xfId="0" applyNumberFormat="1" applyFont="1" applyFill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center" vertical="center" wrapText="1"/>
    </xf>
    <xf numFmtId="49" fontId="33" fillId="0" borderId="10" xfId="53" applyNumberFormat="1" applyFont="1" applyFill="1" applyBorder="1" applyAlignment="1">
      <alignment horizontal="center" vertical="center"/>
      <protection/>
    </xf>
    <xf numFmtId="184" fontId="33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8" fillId="27" borderId="10" xfId="53" applyNumberFormat="1" applyFont="1" applyFill="1" applyBorder="1" applyAlignment="1">
      <alignment horizontal="center" vertical="center"/>
      <protection/>
    </xf>
    <xf numFmtId="49" fontId="8" fillId="27" borderId="10" xfId="53" applyNumberFormat="1" applyFont="1" applyFill="1" applyBorder="1" applyAlignment="1">
      <alignment horizontal="left" vertical="top" wrapText="1"/>
      <protection/>
    </xf>
    <xf numFmtId="49" fontId="8" fillId="27" borderId="10" xfId="53" applyNumberFormat="1" applyFont="1" applyFill="1" applyBorder="1" applyAlignment="1">
      <alignment horizontal="center" vertical="center"/>
      <protection/>
    </xf>
    <xf numFmtId="184" fontId="8" fillId="27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 applyProtection="1">
      <alignment horizontal="center"/>
      <protection locked="0"/>
    </xf>
    <xf numFmtId="49" fontId="20" fillId="25" borderId="11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left" wrapText="1"/>
    </xf>
    <xf numFmtId="184" fontId="10" fillId="25" borderId="0" xfId="0" applyNumberFormat="1" applyFont="1" applyFill="1" applyAlignment="1">
      <alignment/>
    </xf>
    <xf numFmtId="184" fontId="20" fillId="25" borderId="10" xfId="0" applyNumberFormat="1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>
      <alignment horizontal="center" vertical="center"/>
    </xf>
    <xf numFmtId="0" fontId="37" fillId="25" borderId="0" xfId="0" applyFont="1" applyFill="1" applyAlignment="1">
      <alignment/>
    </xf>
    <xf numFmtId="0" fontId="8" fillId="26" borderId="10" xfId="53" applyNumberFormat="1" applyFont="1" applyFill="1" applyBorder="1" applyAlignment="1">
      <alignment horizontal="center" vertical="center"/>
      <protection/>
    </xf>
    <xf numFmtId="49" fontId="26" fillId="26" borderId="10" xfId="0" applyNumberFormat="1" applyFont="1" applyFill="1" applyBorder="1" applyAlignment="1">
      <alignment horizontal="left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 wrapText="1"/>
    </xf>
    <xf numFmtId="184" fontId="8" fillId="26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center" vertical="center" wrapText="1"/>
    </xf>
    <xf numFmtId="184" fontId="21" fillId="25" borderId="10" xfId="0" applyNumberFormat="1" applyFont="1" applyFill="1" applyBorder="1" applyAlignment="1" applyProtection="1">
      <alignment horizontal="center"/>
      <protection locked="0"/>
    </xf>
    <xf numFmtId="184" fontId="6" fillId="0" borderId="0" xfId="0" applyNumberFormat="1" applyFont="1" applyAlignment="1">
      <alignment/>
    </xf>
    <xf numFmtId="184" fontId="76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0" fontId="85" fillId="25" borderId="0" xfId="0" applyFont="1" applyFill="1" applyAlignment="1">
      <alignment horizontal="right" wrapText="1"/>
    </xf>
    <xf numFmtId="49" fontId="25" fillId="25" borderId="0" xfId="43" applyNumberFormat="1" applyFont="1" applyFill="1" applyAlignment="1">
      <alignment horizont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left" wrapText="1"/>
    </xf>
    <xf numFmtId="184" fontId="86" fillId="0" borderId="0" xfId="0" applyNumberFormat="1" applyFont="1" applyFill="1" applyBorder="1" applyAlignment="1">
      <alignment horizontal="left"/>
    </xf>
    <xf numFmtId="184" fontId="26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 wrapText="1"/>
    </xf>
    <xf numFmtId="0" fontId="20" fillId="25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horizontal="right" wrapText="1"/>
    </xf>
    <xf numFmtId="0" fontId="33" fillId="0" borderId="0" xfId="0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0\share\Users\73B5~1\AppData\Local\Temp\Rar$DIa5972.45148\&#1055;&#1088;&#1080;&#1083;&#1086;&#1078;&#1077;&#1085;&#1080;&#1077;%203%20&#1044;&#1086;&#1093;&#1086;&#1076;&#109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02">
          <cell r="C102">
            <v>35526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1"/>
  <sheetViews>
    <sheetView zoomScale="110" zoomScaleNormal="110" zoomScalePageLayoutView="0" workbookViewId="0" topLeftCell="A501">
      <selection activeCell="A1" sqref="A1:H510"/>
    </sheetView>
  </sheetViews>
  <sheetFormatPr defaultColWidth="9.25390625" defaultRowHeight="12.75"/>
  <cols>
    <col min="1" max="1" width="6.00390625" style="31" customWidth="1"/>
    <col min="2" max="2" width="102.75390625" style="27" customWidth="1"/>
    <col min="3" max="3" width="6.75390625" style="92" customWidth="1"/>
    <col min="4" max="4" width="9.00390625" style="92" customWidth="1"/>
    <col min="5" max="5" width="16.75390625" style="93" customWidth="1"/>
    <col min="6" max="6" width="10.75390625" style="92" customWidth="1"/>
    <col min="7" max="7" width="21.375" style="73" customWidth="1"/>
    <col min="8" max="8" width="26.75390625" style="32" customWidth="1"/>
    <col min="9" max="16384" width="9.25390625" style="32" customWidth="1"/>
  </cols>
  <sheetData>
    <row r="1" ht="15.75">
      <c r="I1" s="162"/>
    </row>
    <row r="2" spans="2:7" ht="15" customHeight="1">
      <c r="B2" s="174" t="s">
        <v>421</v>
      </c>
      <c r="C2" s="174"/>
      <c r="D2" s="174"/>
      <c r="E2" s="174"/>
      <c r="F2" s="174"/>
      <c r="G2" s="174"/>
    </row>
    <row r="3" spans="2:7" ht="15" customHeight="1">
      <c r="B3" s="174"/>
      <c r="C3" s="174"/>
      <c r="D3" s="174"/>
      <c r="E3" s="174"/>
      <c r="F3" s="174"/>
      <c r="G3" s="174"/>
    </row>
    <row r="4" spans="2:7" ht="15" customHeight="1">
      <c r="B4" s="174"/>
      <c r="C4" s="174"/>
      <c r="D4" s="174"/>
      <c r="E4" s="174"/>
      <c r="F4" s="174"/>
      <c r="G4" s="174"/>
    </row>
    <row r="5" spans="2:7" ht="15" customHeight="1">
      <c r="B5" s="174"/>
      <c r="C5" s="174"/>
      <c r="D5" s="174"/>
      <c r="E5" s="174"/>
      <c r="F5" s="174"/>
      <c r="G5" s="174"/>
    </row>
    <row r="6" spans="2:7" ht="28.5" customHeight="1">
      <c r="B6" s="174"/>
      <c r="C6" s="174"/>
      <c r="D6" s="174"/>
      <c r="E6" s="174"/>
      <c r="F6" s="174"/>
      <c r="G6" s="174"/>
    </row>
    <row r="8" spans="2:7" ht="35.25" customHeight="1">
      <c r="B8" s="180" t="s">
        <v>364</v>
      </c>
      <c r="C8" s="181"/>
      <c r="D8" s="181"/>
      <c r="E8" s="181"/>
      <c r="F8" s="181"/>
      <c r="G8" s="181"/>
    </row>
    <row r="9" spans="2:7" ht="15.75" customHeight="1">
      <c r="B9" s="181"/>
      <c r="C9" s="181"/>
      <c r="D9" s="181"/>
      <c r="E9" s="181"/>
      <c r="F9" s="181"/>
      <c r="G9" s="181"/>
    </row>
    <row r="10" spans="2:7" ht="15.75" customHeight="1">
      <c r="B10" s="181"/>
      <c r="C10" s="181"/>
      <c r="D10" s="181"/>
      <c r="E10" s="181"/>
      <c r="F10" s="181"/>
      <c r="G10" s="181"/>
    </row>
    <row r="11" spans="2:7" ht="15.75" customHeight="1">
      <c r="B11" s="181"/>
      <c r="C11" s="181"/>
      <c r="D11" s="181"/>
      <c r="E11" s="181"/>
      <c r="F11" s="181"/>
      <c r="G11" s="181"/>
    </row>
    <row r="12" ht="26.25" customHeight="1"/>
    <row r="14" spans="1:7" ht="20.25">
      <c r="A14" s="175" t="s">
        <v>336</v>
      </c>
      <c r="B14" s="175"/>
      <c r="C14" s="175"/>
      <c r="D14" s="175"/>
      <c r="E14" s="175"/>
      <c r="F14" s="175"/>
      <c r="G14" s="175"/>
    </row>
    <row r="15" spans="1:7" ht="15.75">
      <c r="A15" s="33"/>
      <c r="C15" s="34"/>
      <c r="D15" s="34"/>
      <c r="E15" s="35"/>
      <c r="F15" s="34"/>
      <c r="G15" s="83" t="s">
        <v>281</v>
      </c>
    </row>
    <row r="16" spans="1:7" s="8" customFormat="1" ht="15.75" customHeight="1">
      <c r="A16" s="176" t="s">
        <v>0</v>
      </c>
      <c r="B16" s="176" t="s">
        <v>1</v>
      </c>
      <c r="C16" s="176" t="s">
        <v>233</v>
      </c>
      <c r="D16" s="176"/>
      <c r="E16" s="176"/>
      <c r="F16" s="176"/>
      <c r="G16" s="179" t="s">
        <v>286</v>
      </c>
    </row>
    <row r="17" spans="1:7" s="8" customFormat="1" ht="47.25">
      <c r="A17" s="176"/>
      <c r="B17" s="176"/>
      <c r="C17" s="80" t="s">
        <v>2</v>
      </c>
      <c r="D17" s="80" t="s">
        <v>3</v>
      </c>
      <c r="E17" s="80" t="s">
        <v>4</v>
      </c>
      <c r="F17" s="80" t="s">
        <v>168</v>
      </c>
      <c r="G17" s="179"/>
    </row>
    <row r="18" spans="1:7" s="9" customFormat="1" ht="15" customHeight="1">
      <c r="A18" s="36">
        <v>1</v>
      </c>
      <c r="B18" s="37" t="s">
        <v>5</v>
      </c>
      <c r="C18" s="38" t="s">
        <v>6</v>
      </c>
      <c r="D18" s="38"/>
      <c r="E18" s="38"/>
      <c r="F18" s="38"/>
      <c r="G18" s="39">
        <f>G19</f>
        <v>32386.470119999998</v>
      </c>
    </row>
    <row r="19" spans="1:7" s="10" customFormat="1" ht="15.75">
      <c r="A19" s="40"/>
      <c r="B19" s="41" t="s">
        <v>7</v>
      </c>
      <c r="C19" s="42" t="s">
        <v>6</v>
      </c>
      <c r="D19" s="42" t="s">
        <v>8</v>
      </c>
      <c r="E19" s="43"/>
      <c r="F19" s="42"/>
      <c r="G19" s="84">
        <f>G20</f>
        <v>32386.470119999998</v>
      </c>
    </row>
    <row r="20" spans="1:7" s="10" customFormat="1" ht="31.5">
      <c r="A20" s="40"/>
      <c r="B20" s="44" t="s">
        <v>13</v>
      </c>
      <c r="C20" s="42" t="s">
        <v>6</v>
      </c>
      <c r="D20" s="42" t="s">
        <v>14</v>
      </c>
      <c r="E20" s="43" t="s">
        <v>15</v>
      </c>
      <c r="F20" s="42" t="s">
        <v>15</v>
      </c>
      <c r="G20" s="84">
        <f>G21</f>
        <v>32386.470119999998</v>
      </c>
    </row>
    <row r="21" spans="1:7" s="10" customFormat="1" ht="15" customHeight="1">
      <c r="A21" s="40"/>
      <c r="B21" s="41" t="s">
        <v>9</v>
      </c>
      <c r="C21" s="42" t="s">
        <v>6</v>
      </c>
      <c r="D21" s="42" t="s">
        <v>14</v>
      </c>
      <c r="E21" s="43" t="s">
        <v>10</v>
      </c>
      <c r="F21" s="42"/>
      <c r="G21" s="84">
        <f>G22+G26+G28</f>
        <v>32386.470119999998</v>
      </c>
    </row>
    <row r="22" spans="1:7" s="10" customFormat="1" ht="47.25">
      <c r="A22" s="40"/>
      <c r="B22" s="44" t="s">
        <v>16</v>
      </c>
      <c r="C22" s="42" t="s">
        <v>6</v>
      </c>
      <c r="D22" s="42" t="s">
        <v>14</v>
      </c>
      <c r="E22" s="43" t="s">
        <v>17</v>
      </c>
      <c r="F22" s="42"/>
      <c r="G22" s="84">
        <f>G23+G24+G25</f>
        <v>24208.23725</v>
      </c>
    </row>
    <row r="23" spans="1:7" s="10" customFormat="1" ht="47.25">
      <c r="A23" s="40"/>
      <c r="B23" s="41" t="s">
        <v>11</v>
      </c>
      <c r="C23" s="42" t="s">
        <v>6</v>
      </c>
      <c r="D23" s="42" t="s">
        <v>14</v>
      </c>
      <c r="E23" s="43" t="s">
        <v>17</v>
      </c>
      <c r="F23" s="42" t="s">
        <v>12</v>
      </c>
      <c r="G23" s="84">
        <f>11670.562+600.5+3551.31044+2003.32948+223.41089+1301.76878+475.76306</f>
        <v>19826.64465</v>
      </c>
    </row>
    <row r="24" spans="1:7" s="10" customFormat="1" ht="15.75">
      <c r="A24" s="40"/>
      <c r="B24" s="41" t="s">
        <v>337</v>
      </c>
      <c r="C24" s="42" t="s">
        <v>6</v>
      </c>
      <c r="D24" s="42" t="s">
        <v>14</v>
      </c>
      <c r="E24" s="43" t="s">
        <v>17</v>
      </c>
      <c r="F24" s="42" t="s">
        <v>18</v>
      </c>
      <c r="G24" s="84">
        <f>4436.5926-75</f>
        <v>4361.5926</v>
      </c>
    </row>
    <row r="25" spans="1:7" s="10" customFormat="1" ht="15" customHeight="1">
      <c r="A25" s="40"/>
      <c r="B25" s="41" t="s">
        <v>19</v>
      </c>
      <c r="C25" s="42" t="s">
        <v>6</v>
      </c>
      <c r="D25" s="42" t="s">
        <v>14</v>
      </c>
      <c r="E25" s="43" t="s">
        <v>17</v>
      </c>
      <c r="F25" s="42" t="s">
        <v>20</v>
      </c>
      <c r="G25" s="84">
        <v>20</v>
      </c>
    </row>
    <row r="26" spans="1:7" s="10" customFormat="1" ht="31.5">
      <c r="A26" s="40"/>
      <c r="B26" s="41" t="s">
        <v>21</v>
      </c>
      <c r="C26" s="42" t="s">
        <v>6</v>
      </c>
      <c r="D26" s="42" t="s">
        <v>14</v>
      </c>
      <c r="E26" s="43" t="s">
        <v>22</v>
      </c>
      <c r="F26" s="42"/>
      <c r="G26" s="84">
        <f>G27</f>
        <v>8103.23287</v>
      </c>
    </row>
    <row r="27" spans="1:7" s="10" customFormat="1" ht="47.25">
      <c r="A27" s="40"/>
      <c r="B27" s="41" t="s">
        <v>11</v>
      </c>
      <c r="C27" s="42" t="s">
        <v>6</v>
      </c>
      <c r="D27" s="42" t="s">
        <v>14</v>
      </c>
      <c r="E27" s="43" t="s">
        <v>22</v>
      </c>
      <c r="F27" s="42" t="s">
        <v>12</v>
      </c>
      <c r="G27" s="84">
        <f>4946.8536+238.5+1192.3246+903.0422+104.62421+473.76512+244.12314</f>
        <v>8103.23287</v>
      </c>
    </row>
    <row r="28" spans="1:7" s="10" customFormat="1" ht="15.75">
      <c r="A28" s="40"/>
      <c r="B28" s="41" t="s">
        <v>325</v>
      </c>
      <c r="C28" s="42" t="s">
        <v>6</v>
      </c>
      <c r="D28" s="42" t="s">
        <v>14</v>
      </c>
      <c r="E28" s="43" t="s">
        <v>299</v>
      </c>
      <c r="F28" s="42"/>
      <c r="G28" s="84">
        <f>G29</f>
        <v>75</v>
      </c>
    </row>
    <row r="29" spans="1:7" s="10" customFormat="1" ht="15.75">
      <c r="A29" s="40"/>
      <c r="B29" s="41" t="s">
        <v>19</v>
      </c>
      <c r="C29" s="42" t="s">
        <v>6</v>
      </c>
      <c r="D29" s="42" t="s">
        <v>14</v>
      </c>
      <c r="E29" s="43" t="s">
        <v>299</v>
      </c>
      <c r="F29" s="42" t="s">
        <v>20</v>
      </c>
      <c r="G29" s="84">
        <v>75</v>
      </c>
    </row>
    <row r="30" spans="1:7" s="11" customFormat="1" ht="15" customHeight="1">
      <c r="A30" s="36">
        <v>2</v>
      </c>
      <c r="B30" s="79" t="s">
        <v>23</v>
      </c>
      <c r="C30" s="38" t="s">
        <v>24</v>
      </c>
      <c r="D30" s="38"/>
      <c r="E30" s="38"/>
      <c r="F30" s="38"/>
      <c r="G30" s="39">
        <f>G31</f>
        <v>31322.470090000006</v>
      </c>
    </row>
    <row r="31" spans="1:7" s="12" customFormat="1" ht="15.75">
      <c r="A31" s="45"/>
      <c r="B31" s="41" t="s">
        <v>7</v>
      </c>
      <c r="C31" s="42" t="s">
        <v>24</v>
      </c>
      <c r="D31" s="42" t="s">
        <v>8</v>
      </c>
      <c r="E31" s="43"/>
      <c r="F31" s="42"/>
      <c r="G31" s="84">
        <f>G32</f>
        <v>31322.470090000006</v>
      </c>
    </row>
    <row r="32" spans="1:7" s="12" customFormat="1" ht="31.5">
      <c r="A32" s="45"/>
      <c r="B32" s="44" t="s">
        <v>25</v>
      </c>
      <c r="C32" s="42" t="s">
        <v>24</v>
      </c>
      <c r="D32" s="42" t="s">
        <v>26</v>
      </c>
      <c r="E32" s="43" t="s">
        <v>15</v>
      </c>
      <c r="F32" s="42" t="s">
        <v>15</v>
      </c>
      <c r="G32" s="84">
        <f>G33</f>
        <v>31322.470090000006</v>
      </c>
    </row>
    <row r="33" spans="1:7" s="12" customFormat="1" ht="15.75">
      <c r="A33" s="45"/>
      <c r="B33" s="41" t="s">
        <v>9</v>
      </c>
      <c r="C33" s="42" t="s">
        <v>24</v>
      </c>
      <c r="D33" s="42" t="s">
        <v>26</v>
      </c>
      <c r="E33" s="43" t="s">
        <v>10</v>
      </c>
      <c r="F33" s="42"/>
      <c r="G33" s="84">
        <f>G34+G39+G43</f>
        <v>31322.470090000006</v>
      </c>
    </row>
    <row r="34" spans="1:7" s="12" customFormat="1" ht="47.25">
      <c r="A34" s="45"/>
      <c r="B34" s="41" t="s">
        <v>16</v>
      </c>
      <c r="C34" s="42" t="s">
        <v>24</v>
      </c>
      <c r="D34" s="42" t="s">
        <v>26</v>
      </c>
      <c r="E34" s="43" t="s">
        <v>17</v>
      </c>
      <c r="F34" s="42"/>
      <c r="G34" s="84">
        <f>G35+G37+G38</f>
        <v>23435.600920000004</v>
      </c>
    </row>
    <row r="35" spans="1:7" s="13" customFormat="1" ht="47.25">
      <c r="A35" s="45"/>
      <c r="B35" s="41" t="s">
        <v>11</v>
      </c>
      <c r="C35" s="42" t="s">
        <v>24</v>
      </c>
      <c r="D35" s="42" t="s">
        <v>26</v>
      </c>
      <c r="E35" s="43" t="s">
        <v>17</v>
      </c>
      <c r="F35" s="42" t="s">
        <v>12</v>
      </c>
      <c r="G35" s="84">
        <f>9882.01344+660+2968.02281-82.83263+558.36221+83.83263+327.17539+1750+975+898-184.886+220+1779.84517+566.40924</f>
        <v>20400.942260000003</v>
      </c>
    </row>
    <row r="36" spans="1:7" s="13" customFormat="1" ht="15.75">
      <c r="A36" s="45"/>
      <c r="B36" s="89" t="s">
        <v>264</v>
      </c>
      <c r="C36" s="97"/>
      <c r="D36" s="97"/>
      <c r="E36" s="98"/>
      <c r="F36" s="97"/>
      <c r="G36" s="156">
        <f>1750+898</f>
        <v>2648</v>
      </c>
    </row>
    <row r="37" spans="1:7" s="13" customFormat="1" ht="15.75">
      <c r="A37" s="45"/>
      <c r="B37" s="41" t="s">
        <v>337</v>
      </c>
      <c r="C37" s="42" t="s">
        <v>24</v>
      </c>
      <c r="D37" s="42" t="s">
        <v>26</v>
      </c>
      <c r="E37" s="43" t="s">
        <v>17</v>
      </c>
      <c r="F37" s="42" t="s">
        <v>18</v>
      </c>
      <c r="G37" s="84">
        <f>2605.41866+375</f>
        <v>2980.41866</v>
      </c>
    </row>
    <row r="38" spans="1:7" s="12" customFormat="1" ht="15.75">
      <c r="A38" s="45"/>
      <c r="B38" s="41" t="s">
        <v>19</v>
      </c>
      <c r="C38" s="42" t="s">
        <v>24</v>
      </c>
      <c r="D38" s="42" t="s">
        <v>26</v>
      </c>
      <c r="E38" s="43" t="s">
        <v>17</v>
      </c>
      <c r="F38" s="42" t="s">
        <v>20</v>
      </c>
      <c r="G38" s="84">
        <v>54.24</v>
      </c>
    </row>
    <row r="39" spans="1:7" s="12" customFormat="1" ht="31.5">
      <c r="A39" s="45"/>
      <c r="B39" s="44" t="s">
        <v>27</v>
      </c>
      <c r="C39" s="42" t="s">
        <v>24</v>
      </c>
      <c r="D39" s="42" t="s">
        <v>26</v>
      </c>
      <c r="E39" s="43" t="s">
        <v>28</v>
      </c>
      <c r="F39" s="42"/>
      <c r="G39" s="84">
        <f>G40+G42</f>
        <v>7370.77255</v>
      </c>
    </row>
    <row r="40" spans="1:7" s="13" customFormat="1" ht="47.25">
      <c r="A40" s="45"/>
      <c r="B40" s="41" t="s">
        <v>11</v>
      </c>
      <c r="C40" s="42" t="s">
        <v>24</v>
      </c>
      <c r="D40" s="42" t="s">
        <v>26</v>
      </c>
      <c r="E40" s="43" t="s">
        <v>28</v>
      </c>
      <c r="F40" s="42" t="s">
        <v>12</v>
      </c>
      <c r="G40" s="84">
        <f>4997.79696+200+1200.11884-433.26399+94.78696+498.00399+67.19579+650-975+460+184.886-220+400+112.864+120.8</f>
        <v>7358.18855</v>
      </c>
    </row>
    <row r="41" spans="1:7" s="13" customFormat="1" ht="15.75">
      <c r="A41" s="45"/>
      <c r="B41" s="89" t="s">
        <v>264</v>
      </c>
      <c r="C41" s="97"/>
      <c r="D41" s="97"/>
      <c r="E41" s="98"/>
      <c r="F41" s="97"/>
      <c r="G41" s="156">
        <f>650+460</f>
        <v>1110</v>
      </c>
    </row>
    <row r="42" spans="1:7" s="13" customFormat="1" ht="15.75">
      <c r="A42" s="45"/>
      <c r="B42" s="41" t="s">
        <v>337</v>
      </c>
      <c r="C42" s="42" t="s">
        <v>24</v>
      </c>
      <c r="D42" s="42" t="s">
        <v>26</v>
      </c>
      <c r="E42" s="43" t="s">
        <v>28</v>
      </c>
      <c r="F42" s="42" t="s">
        <v>18</v>
      </c>
      <c r="G42" s="84">
        <v>12.584</v>
      </c>
    </row>
    <row r="43" spans="1:7" s="13" customFormat="1" ht="15.75">
      <c r="A43" s="45"/>
      <c r="B43" s="44" t="s">
        <v>325</v>
      </c>
      <c r="C43" s="42" t="s">
        <v>24</v>
      </c>
      <c r="D43" s="42" t="s">
        <v>26</v>
      </c>
      <c r="E43" s="43" t="s">
        <v>299</v>
      </c>
      <c r="F43" s="42"/>
      <c r="G43" s="84">
        <f>G44+G45</f>
        <v>516.09662</v>
      </c>
    </row>
    <row r="44" spans="1:7" s="13" customFormat="1" ht="47.25">
      <c r="A44" s="45"/>
      <c r="B44" s="41" t="s">
        <v>11</v>
      </c>
      <c r="C44" s="42" t="s">
        <v>24</v>
      </c>
      <c r="D44" s="42" t="s">
        <v>26</v>
      </c>
      <c r="E44" s="43" t="s">
        <v>299</v>
      </c>
      <c r="F44" s="42" t="s">
        <v>12</v>
      </c>
      <c r="G44" s="84">
        <v>433.26399</v>
      </c>
    </row>
    <row r="45" spans="1:7" s="13" customFormat="1" ht="15.75">
      <c r="A45" s="45"/>
      <c r="B45" s="41" t="s">
        <v>19</v>
      </c>
      <c r="C45" s="42" t="s">
        <v>24</v>
      </c>
      <c r="D45" s="42" t="s">
        <v>26</v>
      </c>
      <c r="E45" s="43" t="s">
        <v>299</v>
      </c>
      <c r="F45" s="42" t="s">
        <v>20</v>
      </c>
      <c r="G45" s="84">
        <f>75+7.83263</f>
        <v>82.83263</v>
      </c>
    </row>
    <row r="46" spans="1:7" s="12" customFormat="1" ht="15" customHeight="1">
      <c r="A46" s="36">
        <v>3</v>
      </c>
      <c r="B46" s="37" t="s">
        <v>29</v>
      </c>
      <c r="C46" s="38" t="s">
        <v>30</v>
      </c>
      <c r="D46" s="38"/>
      <c r="E46" s="38"/>
      <c r="F46" s="38"/>
      <c r="G46" s="39">
        <f>G47+G81+G76+G87</f>
        <v>27243.948179999992</v>
      </c>
    </row>
    <row r="47" spans="1:7" s="10" customFormat="1" ht="15" customHeight="1">
      <c r="A47" s="45"/>
      <c r="B47" s="41" t="s">
        <v>7</v>
      </c>
      <c r="C47" s="42" t="s">
        <v>30</v>
      </c>
      <c r="D47" s="42" t="s">
        <v>8</v>
      </c>
      <c r="E47" s="43"/>
      <c r="F47" s="42"/>
      <c r="G47" s="84">
        <f>G48+G64+G68</f>
        <v>26270.456939999993</v>
      </c>
    </row>
    <row r="48" spans="1:7" s="10" customFormat="1" ht="31.5">
      <c r="A48" s="45"/>
      <c r="B48" s="41" t="s">
        <v>31</v>
      </c>
      <c r="C48" s="42" t="s">
        <v>30</v>
      </c>
      <c r="D48" s="42" t="s">
        <v>32</v>
      </c>
      <c r="E48" s="43" t="s">
        <v>15</v>
      </c>
      <c r="F48" s="42" t="s">
        <v>15</v>
      </c>
      <c r="G48" s="84">
        <f>G52+G49</f>
        <v>19653.020939999995</v>
      </c>
    </row>
    <row r="49" spans="1:7" s="10" customFormat="1" ht="31.5">
      <c r="A49" s="45"/>
      <c r="B49" s="41" t="s">
        <v>332</v>
      </c>
      <c r="C49" s="42" t="s">
        <v>30</v>
      </c>
      <c r="D49" s="42" t="s">
        <v>32</v>
      </c>
      <c r="E49" s="43" t="s">
        <v>333</v>
      </c>
      <c r="F49" s="42"/>
      <c r="G49" s="84">
        <f>G50</f>
        <v>7.0395</v>
      </c>
    </row>
    <row r="50" spans="1:7" s="10" customFormat="1" ht="63">
      <c r="A50" s="45"/>
      <c r="B50" s="49" t="s">
        <v>343</v>
      </c>
      <c r="C50" s="42" t="s">
        <v>30</v>
      </c>
      <c r="D50" s="42" t="s">
        <v>32</v>
      </c>
      <c r="E50" s="43" t="s">
        <v>334</v>
      </c>
      <c r="F50" s="42"/>
      <c r="G50" s="84">
        <f>G51</f>
        <v>7.0395</v>
      </c>
    </row>
    <row r="51" spans="1:7" s="10" customFormat="1" ht="15.75">
      <c r="A51" s="45"/>
      <c r="B51" s="41" t="s">
        <v>337</v>
      </c>
      <c r="C51" s="42" t="s">
        <v>30</v>
      </c>
      <c r="D51" s="42" t="s">
        <v>32</v>
      </c>
      <c r="E51" s="43" t="s">
        <v>334</v>
      </c>
      <c r="F51" s="42" t="s">
        <v>18</v>
      </c>
      <c r="G51" s="84">
        <f>15-7.9605</f>
        <v>7.0395</v>
      </c>
    </row>
    <row r="52" spans="1:7" s="10" customFormat="1" ht="15.75">
      <c r="A52" s="45"/>
      <c r="B52" s="41" t="s">
        <v>9</v>
      </c>
      <c r="C52" s="42" t="s">
        <v>30</v>
      </c>
      <c r="D52" s="42" t="s">
        <v>32</v>
      </c>
      <c r="E52" s="43" t="s">
        <v>10</v>
      </c>
      <c r="F52" s="42"/>
      <c r="G52" s="84">
        <f>G53+G58+G62</f>
        <v>19645.981439999996</v>
      </c>
    </row>
    <row r="53" spans="1:7" s="10" customFormat="1" ht="47.25">
      <c r="A53" s="45"/>
      <c r="B53" s="41" t="s">
        <v>16</v>
      </c>
      <c r="C53" s="42" t="s">
        <v>30</v>
      </c>
      <c r="D53" s="42" t="s">
        <v>32</v>
      </c>
      <c r="E53" s="43" t="s">
        <v>17</v>
      </c>
      <c r="F53" s="42"/>
      <c r="G53" s="84">
        <f>G54+G56+G57</f>
        <v>8707.64901</v>
      </c>
    </row>
    <row r="54" spans="1:7" s="10" customFormat="1" ht="47.25">
      <c r="A54" s="45"/>
      <c r="B54" s="41" t="s">
        <v>11</v>
      </c>
      <c r="C54" s="42" t="s">
        <v>30</v>
      </c>
      <c r="D54" s="42" t="s">
        <v>32</v>
      </c>
      <c r="E54" s="43" t="s">
        <v>17</v>
      </c>
      <c r="F54" s="42" t="s">
        <v>12</v>
      </c>
      <c r="G54" s="84">
        <f>2476.55772+406.56+628.48833-205.43824+205.43824-411.28972-127.57+1246.30124+390.35508+750+200-205.71+1848.73494+269.2107</f>
        <v>7471.63829</v>
      </c>
    </row>
    <row r="55" spans="1:7" s="10" customFormat="1" ht="15.75">
      <c r="A55" s="45"/>
      <c r="B55" s="89" t="s">
        <v>264</v>
      </c>
      <c r="C55" s="97"/>
      <c r="D55" s="97"/>
      <c r="E55" s="98"/>
      <c r="F55" s="97"/>
      <c r="G55" s="156">
        <f>750+200</f>
        <v>950</v>
      </c>
    </row>
    <row r="56" spans="1:7" s="10" customFormat="1" ht="15.75">
      <c r="A56" s="45"/>
      <c r="B56" s="41" t="s">
        <v>337</v>
      </c>
      <c r="C56" s="42" t="s">
        <v>30</v>
      </c>
      <c r="D56" s="42" t="s">
        <v>32</v>
      </c>
      <c r="E56" s="43" t="s">
        <v>17</v>
      </c>
      <c r="F56" s="42" t="s">
        <v>18</v>
      </c>
      <c r="G56" s="84">
        <f>702.881-184.061+30</f>
        <v>548.8199999999999</v>
      </c>
    </row>
    <row r="57" spans="1:7" s="10" customFormat="1" ht="15.75">
      <c r="A57" s="45"/>
      <c r="B57" s="41" t="s">
        <v>19</v>
      </c>
      <c r="C57" s="42" t="s">
        <v>30</v>
      </c>
      <c r="D57" s="42" t="s">
        <v>32</v>
      </c>
      <c r="E57" s="43" t="s">
        <v>17</v>
      </c>
      <c r="F57" s="42" t="s">
        <v>20</v>
      </c>
      <c r="G57" s="84">
        <f>342.865+70.42472+243.901+30</f>
        <v>687.19072</v>
      </c>
    </row>
    <row r="58" spans="1:7" s="10" customFormat="1" ht="15.75">
      <c r="A58" s="45"/>
      <c r="B58" s="41" t="s">
        <v>33</v>
      </c>
      <c r="C58" s="42" t="s">
        <v>30</v>
      </c>
      <c r="D58" s="42" t="s">
        <v>32</v>
      </c>
      <c r="E58" s="43" t="s">
        <v>34</v>
      </c>
      <c r="F58" s="42"/>
      <c r="G58" s="84">
        <f>G59+G61</f>
        <v>10688.332429999999</v>
      </c>
    </row>
    <row r="59" spans="1:7" s="10" customFormat="1" ht="47.25">
      <c r="A59" s="45"/>
      <c r="B59" s="41" t="s">
        <v>11</v>
      </c>
      <c r="C59" s="42" t="s">
        <v>30</v>
      </c>
      <c r="D59" s="42" t="s">
        <v>32</v>
      </c>
      <c r="E59" s="43" t="s">
        <v>34</v>
      </c>
      <c r="F59" s="42" t="s">
        <v>12</v>
      </c>
      <c r="G59" s="84">
        <f>3174.77344+266.03+735.31534+541.708-301.428+301.428-301.428+301.428+527.03832+797.5318+2500+318+176.71+1412.5139+216.11463</f>
        <v>10665.735429999999</v>
      </c>
    </row>
    <row r="60" spans="1:7" s="10" customFormat="1" ht="15.75">
      <c r="A60" s="45"/>
      <c r="B60" s="89" t="s">
        <v>264</v>
      </c>
      <c r="C60" s="97"/>
      <c r="D60" s="97"/>
      <c r="E60" s="98"/>
      <c r="F60" s="97"/>
      <c r="G60" s="156">
        <f>2500+318</f>
        <v>2818</v>
      </c>
    </row>
    <row r="61" spans="1:7" s="10" customFormat="1" ht="15.75">
      <c r="A61" s="45"/>
      <c r="B61" s="41" t="s">
        <v>337</v>
      </c>
      <c r="C61" s="42" t="s">
        <v>30</v>
      </c>
      <c r="D61" s="42" t="s">
        <v>32</v>
      </c>
      <c r="E61" s="43" t="s">
        <v>34</v>
      </c>
      <c r="F61" s="42" t="s">
        <v>18</v>
      </c>
      <c r="G61" s="84">
        <f>57.081-56.219+30-8.265</f>
        <v>22.597</v>
      </c>
    </row>
    <row r="62" spans="1:7" s="10" customFormat="1" ht="15.75">
      <c r="A62" s="45"/>
      <c r="B62" s="41" t="s">
        <v>325</v>
      </c>
      <c r="C62" s="42" t="s">
        <v>30</v>
      </c>
      <c r="D62" s="42" t="s">
        <v>32</v>
      </c>
      <c r="E62" s="43" t="s">
        <v>299</v>
      </c>
      <c r="F62" s="42"/>
      <c r="G62" s="84">
        <f>G63</f>
        <v>250</v>
      </c>
    </row>
    <row r="63" spans="1:7" s="10" customFormat="1" ht="15.75">
      <c r="A63" s="45"/>
      <c r="B63" s="41" t="s">
        <v>19</v>
      </c>
      <c r="C63" s="42" t="s">
        <v>30</v>
      </c>
      <c r="D63" s="42" t="s">
        <v>32</v>
      </c>
      <c r="E63" s="43" t="s">
        <v>299</v>
      </c>
      <c r="F63" s="42" t="s">
        <v>20</v>
      </c>
      <c r="G63" s="84">
        <f>175.764-175.764+250</f>
        <v>250</v>
      </c>
    </row>
    <row r="64" spans="1:7" s="10" customFormat="1" ht="15" customHeight="1">
      <c r="A64" s="45"/>
      <c r="B64" s="46" t="s">
        <v>35</v>
      </c>
      <c r="C64" s="42" t="s">
        <v>30</v>
      </c>
      <c r="D64" s="42" t="s">
        <v>36</v>
      </c>
      <c r="E64" s="43"/>
      <c r="F64" s="42"/>
      <c r="G64" s="84">
        <f>G65</f>
        <v>279.281</v>
      </c>
    </row>
    <row r="65" spans="1:7" s="10" customFormat="1" ht="15" customHeight="1">
      <c r="A65" s="45"/>
      <c r="B65" s="41" t="s">
        <v>9</v>
      </c>
      <c r="C65" s="42" t="s">
        <v>30</v>
      </c>
      <c r="D65" s="42" t="s">
        <v>36</v>
      </c>
      <c r="E65" s="43" t="s">
        <v>10</v>
      </c>
      <c r="F65" s="42"/>
      <c r="G65" s="84">
        <f>G66</f>
        <v>279.281</v>
      </c>
    </row>
    <row r="66" spans="1:7" s="14" customFormat="1" ht="15" customHeight="1">
      <c r="A66" s="45"/>
      <c r="B66" s="44" t="s">
        <v>37</v>
      </c>
      <c r="C66" s="42" t="s">
        <v>30</v>
      </c>
      <c r="D66" s="42" t="s">
        <v>36</v>
      </c>
      <c r="E66" s="43" t="s">
        <v>38</v>
      </c>
      <c r="F66" s="42"/>
      <c r="G66" s="84">
        <f>G67</f>
        <v>279.281</v>
      </c>
    </row>
    <row r="67" spans="1:7" s="15" customFormat="1" ht="15" customHeight="1">
      <c r="A67" s="45"/>
      <c r="B67" s="41" t="s">
        <v>19</v>
      </c>
      <c r="C67" s="42" t="s">
        <v>30</v>
      </c>
      <c r="D67" s="42" t="s">
        <v>36</v>
      </c>
      <c r="E67" s="43" t="s">
        <v>38</v>
      </c>
      <c r="F67" s="42" t="s">
        <v>20</v>
      </c>
      <c r="G67" s="84">
        <f>400-120.719</f>
        <v>279.281</v>
      </c>
    </row>
    <row r="68" spans="1:7" s="15" customFormat="1" ht="15" customHeight="1">
      <c r="A68" s="45"/>
      <c r="B68" s="41" t="s">
        <v>39</v>
      </c>
      <c r="C68" s="42" t="s">
        <v>30</v>
      </c>
      <c r="D68" s="42" t="s">
        <v>40</v>
      </c>
      <c r="E68" s="43"/>
      <c r="F68" s="42"/>
      <c r="G68" s="84">
        <f>G69</f>
        <v>6338.155</v>
      </c>
    </row>
    <row r="69" spans="1:7" s="15" customFormat="1" ht="15" customHeight="1">
      <c r="A69" s="45"/>
      <c r="B69" s="41" t="s">
        <v>9</v>
      </c>
      <c r="C69" s="42" t="s">
        <v>30</v>
      </c>
      <c r="D69" s="42" t="s">
        <v>40</v>
      </c>
      <c r="E69" s="43" t="s">
        <v>10</v>
      </c>
      <c r="F69" s="42"/>
      <c r="G69" s="84">
        <f>G74+G70+G72</f>
        <v>6338.155</v>
      </c>
    </row>
    <row r="70" spans="1:7" s="15" customFormat="1" ht="30.75" customHeight="1">
      <c r="A70" s="45"/>
      <c r="B70" s="41" t="s">
        <v>235</v>
      </c>
      <c r="C70" s="42" t="s">
        <v>30</v>
      </c>
      <c r="D70" s="42" t="s">
        <v>40</v>
      </c>
      <c r="E70" s="43" t="s">
        <v>47</v>
      </c>
      <c r="F70" s="42"/>
      <c r="G70" s="84">
        <f>G71</f>
        <v>4185.155</v>
      </c>
    </row>
    <row r="71" spans="1:7" s="15" customFormat="1" ht="15" customHeight="1">
      <c r="A71" s="45"/>
      <c r="B71" s="44" t="s">
        <v>48</v>
      </c>
      <c r="C71" s="42" t="s">
        <v>30</v>
      </c>
      <c r="D71" s="42" t="s">
        <v>40</v>
      </c>
      <c r="E71" s="43" t="s">
        <v>47</v>
      </c>
      <c r="F71" s="42" t="s">
        <v>49</v>
      </c>
      <c r="G71" s="84">
        <f>3870.096+315.059</f>
        <v>4185.155</v>
      </c>
    </row>
    <row r="72" spans="1:7" s="15" customFormat="1" ht="31.5">
      <c r="A72" s="45"/>
      <c r="B72" s="44" t="s">
        <v>399</v>
      </c>
      <c r="C72" s="42" t="s">
        <v>30</v>
      </c>
      <c r="D72" s="42" t="s">
        <v>40</v>
      </c>
      <c r="E72" s="43" t="s">
        <v>398</v>
      </c>
      <c r="F72" s="42"/>
      <c r="G72" s="84">
        <f>G73</f>
        <v>83</v>
      </c>
    </row>
    <row r="73" spans="1:7" s="15" customFormat="1" ht="15" customHeight="1">
      <c r="A73" s="45"/>
      <c r="B73" s="44" t="s">
        <v>48</v>
      </c>
      <c r="C73" s="42" t="s">
        <v>30</v>
      </c>
      <c r="D73" s="42" t="s">
        <v>40</v>
      </c>
      <c r="E73" s="43" t="s">
        <v>398</v>
      </c>
      <c r="F73" s="42" t="s">
        <v>49</v>
      </c>
      <c r="G73" s="84">
        <v>83</v>
      </c>
    </row>
    <row r="74" spans="1:7" s="11" customFormat="1" ht="31.5">
      <c r="A74" s="45"/>
      <c r="B74" s="41" t="s">
        <v>41</v>
      </c>
      <c r="C74" s="42" t="s">
        <v>30</v>
      </c>
      <c r="D74" s="42" t="s">
        <v>40</v>
      </c>
      <c r="E74" s="43" t="s">
        <v>42</v>
      </c>
      <c r="F74" s="42"/>
      <c r="G74" s="84">
        <f>G75</f>
        <v>2070</v>
      </c>
    </row>
    <row r="75" spans="1:7" s="15" customFormat="1" ht="15" customHeight="1">
      <c r="A75" s="45"/>
      <c r="B75" s="41" t="s">
        <v>19</v>
      </c>
      <c r="C75" s="42" t="s">
        <v>30</v>
      </c>
      <c r="D75" s="42" t="s">
        <v>40</v>
      </c>
      <c r="E75" s="43" t="s">
        <v>42</v>
      </c>
      <c r="F75" s="42" t="s">
        <v>20</v>
      </c>
      <c r="G75" s="84">
        <f>6000-1548-2382</f>
        <v>2070</v>
      </c>
    </row>
    <row r="76" spans="1:7" s="15" customFormat="1" ht="15" customHeight="1">
      <c r="A76" s="45"/>
      <c r="B76" s="41" t="s">
        <v>378</v>
      </c>
      <c r="C76" s="42" t="s">
        <v>30</v>
      </c>
      <c r="D76" s="42" t="s">
        <v>171</v>
      </c>
      <c r="E76" s="43"/>
      <c r="F76" s="42"/>
      <c r="G76" s="84">
        <f>G77</f>
        <v>305.57</v>
      </c>
    </row>
    <row r="77" spans="1:7" s="15" customFormat="1" ht="15" customHeight="1">
      <c r="A77" s="45"/>
      <c r="B77" s="41" t="s">
        <v>380</v>
      </c>
      <c r="C77" s="42" t="s">
        <v>30</v>
      </c>
      <c r="D77" s="42" t="s">
        <v>376</v>
      </c>
      <c r="E77" s="43"/>
      <c r="F77" s="42"/>
      <c r="G77" s="84">
        <f>G78</f>
        <v>305.57</v>
      </c>
    </row>
    <row r="78" spans="1:7" s="15" customFormat="1" ht="15" customHeight="1">
      <c r="A78" s="45"/>
      <c r="B78" s="41" t="s">
        <v>9</v>
      </c>
      <c r="C78" s="42" t="s">
        <v>30</v>
      </c>
      <c r="D78" s="42" t="s">
        <v>376</v>
      </c>
      <c r="E78" s="43" t="s">
        <v>10</v>
      </c>
      <c r="F78" s="42"/>
      <c r="G78" s="84">
        <f>G79</f>
        <v>305.57</v>
      </c>
    </row>
    <row r="79" spans="1:7" s="15" customFormat="1" ht="15" customHeight="1">
      <c r="A79" s="45"/>
      <c r="B79" s="41" t="s">
        <v>412</v>
      </c>
      <c r="C79" s="42" t="s">
        <v>30</v>
      </c>
      <c r="D79" s="42" t="s">
        <v>376</v>
      </c>
      <c r="E79" s="43" t="s">
        <v>377</v>
      </c>
      <c r="F79" s="42"/>
      <c r="G79" s="84">
        <f>G80</f>
        <v>305.57</v>
      </c>
    </row>
    <row r="80" spans="1:7" s="15" customFormat="1" ht="15" customHeight="1">
      <c r="A80" s="45"/>
      <c r="B80" s="41" t="s">
        <v>337</v>
      </c>
      <c r="C80" s="42" t="s">
        <v>30</v>
      </c>
      <c r="D80" s="42" t="s">
        <v>376</v>
      </c>
      <c r="E80" s="43" t="s">
        <v>377</v>
      </c>
      <c r="F80" s="42" t="s">
        <v>18</v>
      </c>
      <c r="G80" s="84">
        <f>65.57+240</f>
        <v>305.57</v>
      </c>
    </row>
    <row r="81" spans="1:7" s="15" customFormat="1" ht="15.75">
      <c r="A81" s="45"/>
      <c r="B81" s="41" t="s">
        <v>66</v>
      </c>
      <c r="C81" s="42" t="s">
        <v>30</v>
      </c>
      <c r="D81" s="42" t="s">
        <v>67</v>
      </c>
      <c r="E81" s="43"/>
      <c r="F81" s="42"/>
      <c r="G81" s="84">
        <f>G82</f>
        <v>547.20224</v>
      </c>
    </row>
    <row r="82" spans="1:7" s="15" customFormat="1" ht="15.75">
      <c r="A82" s="45"/>
      <c r="B82" s="41" t="s">
        <v>93</v>
      </c>
      <c r="C82" s="42" t="s">
        <v>30</v>
      </c>
      <c r="D82" s="42" t="s">
        <v>94</v>
      </c>
      <c r="E82" s="43"/>
      <c r="F82" s="42"/>
      <c r="G82" s="84">
        <f>G83</f>
        <v>547.20224</v>
      </c>
    </row>
    <row r="83" spans="1:7" s="15" customFormat="1" ht="15.75">
      <c r="A83" s="45"/>
      <c r="B83" s="41" t="s">
        <v>9</v>
      </c>
      <c r="C83" s="42" t="s">
        <v>30</v>
      </c>
      <c r="D83" s="42" t="s">
        <v>94</v>
      </c>
      <c r="E83" s="43" t="s">
        <v>10</v>
      </c>
      <c r="F83" s="42"/>
      <c r="G83" s="84">
        <f>G84</f>
        <v>547.20224</v>
      </c>
    </row>
    <row r="84" spans="1:7" s="15" customFormat="1" ht="15.75">
      <c r="A84" s="45"/>
      <c r="B84" s="41" t="s">
        <v>325</v>
      </c>
      <c r="C84" s="42" t="s">
        <v>30</v>
      </c>
      <c r="D84" s="42" t="s">
        <v>94</v>
      </c>
      <c r="E84" s="43" t="s">
        <v>299</v>
      </c>
      <c r="F84" s="42"/>
      <c r="G84" s="84">
        <f>SUM(G85:G86)</f>
        <v>547.20224</v>
      </c>
    </row>
    <row r="85" spans="1:7" s="15" customFormat="1" ht="15.75">
      <c r="A85" s="45"/>
      <c r="B85" s="41" t="s">
        <v>337</v>
      </c>
      <c r="C85" s="42" t="s">
        <v>30</v>
      </c>
      <c r="D85" s="42" t="s">
        <v>94</v>
      </c>
      <c r="E85" s="43" t="s">
        <v>299</v>
      </c>
      <c r="F85" s="42" t="s">
        <v>18</v>
      </c>
      <c r="G85" s="84">
        <f>180.03115+2.58024</f>
        <v>182.61139</v>
      </c>
    </row>
    <row r="86" spans="1:7" s="15" customFormat="1" ht="15.75">
      <c r="A86" s="45"/>
      <c r="B86" s="41" t="s">
        <v>19</v>
      </c>
      <c r="C86" s="42" t="s">
        <v>30</v>
      </c>
      <c r="D86" s="42" t="s">
        <v>94</v>
      </c>
      <c r="E86" s="43" t="s">
        <v>299</v>
      </c>
      <c r="F86" s="42" t="s">
        <v>20</v>
      </c>
      <c r="G86" s="84">
        <f>201.17109+250-86.58024</f>
        <v>364.59085</v>
      </c>
    </row>
    <row r="87" spans="1:7" s="15" customFormat="1" ht="15.75">
      <c r="A87" s="45"/>
      <c r="B87" s="41" t="s">
        <v>43</v>
      </c>
      <c r="C87" s="42" t="s">
        <v>30</v>
      </c>
      <c r="D87" s="42" t="s">
        <v>44</v>
      </c>
      <c r="E87" s="43"/>
      <c r="F87" s="42"/>
      <c r="G87" s="84">
        <f>G88</f>
        <v>120.719</v>
      </c>
    </row>
    <row r="88" spans="1:7" s="15" customFormat="1" ht="15.75">
      <c r="A88" s="45"/>
      <c r="B88" s="41" t="s">
        <v>45</v>
      </c>
      <c r="C88" s="42" t="s">
        <v>30</v>
      </c>
      <c r="D88" s="42" t="s">
        <v>46</v>
      </c>
      <c r="E88" s="43"/>
      <c r="F88" s="42"/>
      <c r="G88" s="84">
        <f>G90</f>
        <v>120.719</v>
      </c>
    </row>
    <row r="89" spans="1:7" s="15" customFormat="1" ht="15.75">
      <c r="A89" s="45"/>
      <c r="B89" s="41" t="s">
        <v>9</v>
      </c>
      <c r="C89" s="42" t="s">
        <v>30</v>
      </c>
      <c r="D89" s="42" t="s">
        <v>46</v>
      </c>
      <c r="E89" s="43" t="s">
        <v>10</v>
      </c>
      <c r="F89" s="42"/>
      <c r="G89" s="84">
        <f>G90</f>
        <v>120.719</v>
      </c>
    </row>
    <row r="90" spans="1:7" s="15" customFormat="1" ht="31.5">
      <c r="A90" s="45"/>
      <c r="B90" s="41" t="s">
        <v>401</v>
      </c>
      <c r="C90" s="42" t="s">
        <v>30</v>
      </c>
      <c r="D90" s="42" t="s">
        <v>46</v>
      </c>
      <c r="E90" s="43" t="s">
        <v>400</v>
      </c>
      <c r="F90" s="42"/>
      <c r="G90" s="84">
        <f>G91</f>
        <v>120.719</v>
      </c>
    </row>
    <row r="91" spans="1:7" s="15" customFormat="1" ht="15.75">
      <c r="A91" s="45"/>
      <c r="B91" s="44" t="s">
        <v>48</v>
      </c>
      <c r="C91" s="42" t="s">
        <v>30</v>
      </c>
      <c r="D91" s="42" t="s">
        <v>46</v>
      </c>
      <c r="E91" s="43" t="s">
        <v>400</v>
      </c>
      <c r="F91" s="42" t="s">
        <v>49</v>
      </c>
      <c r="G91" s="84">
        <v>120.719</v>
      </c>
    </row>
    <row r="92" spans="1:7" s="12" customFormat="1" ht="15" customHeight="1">
      <c r="A92" s="36">
        <v>4</v>
      </c>
      <c r="B92" s="37" t="s">
        <v>50</v>
      </c>
      <c r="C92" s="38" t="s">
        <v>51</v>
      </c>
      <c r="D92" s="38"/>
      <c r="E92" s="38"/>
      <c r="F92" s="38"/>
      <c r="G92" s="39">
        <f>G93+G104+G110</f>
        <v>34717.60657</v>
      </c>
    </row>
    <row r="93" spans="1:7" s="15" customFormat="1" ht="15.75">
      <c r="A93" s="45"/>
      <c r="B93" s="41" t="s">
        <v>7</v>
      </c>
      <c r="C93" s="42" t="s">
        <v>51</v>
      </c>
      <c r="D93" s="42" t="s">
        <v>8</v>
      </c>
      <c r="E93" s="43"/>
      <c r="F93" s="42"/>
      <c r="G93" s="84">
        <f>G94</f>
        <v>26498.694370000005</v>
      </c>
    </row>
    <row r="94" spans="1:7" s="15" customFormat="1" ht="31.5">
      <c r="A94" s="45"/>
      <c r="B94" s="44" t="s">
        <v>25</v>
      </c>
      <c r="C94" s="42" t="s">
        <v>51</v>
      </c>
      <c r="D94" s="42" t="s">
        <v>26</v>
      </c>
      <c r="E94" s="43" t="s">
        <v>15</v>
      </c>
      <c r="F94" s="42" t="s">
        <v>15</v>
      </c>
      <c r="G94" s="84">
        <f>G95</f>
        <v>26498.694370000005</v>
      </c>
    </row>
    <row r="95" spans="1:7" s="15" customFormat="1" ht="15.75">
      <c r="A95" s="45"/>
      <c r="B95" s="41" t="s">
        <v>9</v>
      </c>
      <c r="C95" s="42" t="s">
        <v>51</v>
      </c>
      <c r="D95" s="42" t="s">
        <v>26</v>
      </c>
      <c r="E95" s="43" t="s">
        <v>10</v>
      </c>
      <c r="F95" s="42"/>
      <c r="G95" s="84">
        <f>G96+G101</f>
        <v>26498.694370000005</v>
      </c>
    </row>
    <row r="96" spans="1:7" s="15" customFormat="1" ht="47.25">
      <c r="A96" s="45"/>
      <c r="B96" s="41" t="s">
        <v>16</v>
      </c>
      <c r="C96" s="42" t="s">
        <v>51</v>
      </c>
      <c r="D96" s="42" t="s">
        <v>26</v>
      </c>
      <c r="E96" s="43" t="s">
        <v>17</v>
      </c>
      <c r="F96" s="42"/>
      <c r="G96" s="84">
        <f>G97+G99+G100</f>
        <v>26463.094370000006</v>
      </c>
    </row>
    <row r="97" spans="1:7" s="16" customFormat="1" ht="47.25">
      <c r="A97" s="48"/>
      <c r="B97" s="41" t="s">
        <v>11</v>
      </c>
      <c r="C97" s="42" t="s">
        <v>51</v>
      </c>
      <c r="D97" s="42" t="s">
        <v>26</v>
      </c>
      <c r="E97" s="43" t="s">
        <v>17</v>
      </c>
      <c r="F97" s="42" t="s">
        <v>12</v>
      </c>
      <c r="G97" s="84">
        <f>14222.3316+749.8435+4368.35049+1488.51866+449.53264+2400+928.571-35.6+280.429+494.50497+149.3405</f>
        <v>25495.822360000006</v>
      </c>
    </row>
    <row r="98" spans="1:7" s="16" customFormat="1" ht="15.75">
      <c r="A98" s="48"/>
      <c r="B98" s="89" t="s">
        <v>264</v>
      </c>
      <c r="C98" s="97"/>
      <c r="D98" s="97"/>
      <c r="E98" s="98"/>
      <c r="F98" s="97"/>
      <c r="G98" s="156">
        <f>2400+928.571+280.429</f>
        <v>3609</v>
      </c>
    </row>
    <row r="99" spans="1:7" s="16" customFormat="1" ht="15.75">
      <c r="A99" s="48"/>
      <c r="B99" s="41" t="s">
        <v>337</v>
      </c>
      <c r="C99" s="42" t="s">
        <v>51</v>
      </c>
      <c r="D99" s="42" t="s">
        <v>26</v>
      </c>
      <c r="E99" s="43" t="s">
        <v>17</v>
      </c>
      <c r="F99" s="42" t="s">
        <v>18</v>
      </c>
      <c r="G99" s="84">
        <f>967.27201-0.5</f>
        <v>966.77201</v>
      </c>
    </row>
    <row r="100" spans="1:7" s="16" customFormat="1" ht="15.75">
      <c r="A100" s="48"/>
      <c r="B100" s="41" t="s">
        <v>19</v>
      </c>
      <c r="C100" s="42" t="s">
        <v>51</v>
      </c>
      <c r="D100" s="42" t="s">
        <v>26</v>
      </c>
      <c r="E100" s="43" t="s">
        <v>17</v>
      </c>
      <c r="F100" s="42" t="s">
        <v>20</v>
      </c>
      <c r="G100" s="84">
        <v>0.5</v>
      </c>
    </row>
    <row r="101" spans="1:7" s="16" customFormat="1" ht="31.5">
      <c r="A101" s="48"/>
      <c r="B101" s="41" t="s">
        <v>402</v>
      </c>
      <c r="C101" s="42" t="s">
        <v>51</v>
      </c>
      <c r="D101" s="42" t="s">
        <v>26</v>
      </c>
      <c r="E101" s="43" t="s">
        <v>299</v>
      </c>
      <c r="F101" s="42"/>
      <c r="G101" s="84">
        <f>G102+G103</f>
        <v>35.6</v>
      </c>
    </row>
    <row r="102" spans="1:7" s="16" customFormat="1" ht="15.75">
      <c r="A102" s="48"/>
      <c r="B102" s="41" t="s">
        <v>337</v>
      </c>
      <c r="C102" s="42" t="s">
        <v>51</v>
      </c>
      <c r="D102" s="42" t="s">
        <v>26</v>
      </c>
      <c r="E102" s="43" t="s">
        <v>299</v>
      </c>
      <c r="F102" s="42" t="s">
        <v>18</v>
      </c>
      <c r="G102" s="84">
        <v>35</v>
      </c>
    </row>
    <row r="103" spans="1:7" s="16" customFormat="1" ht="15.75">
      <c r="A103" s="48"/>
      <c r="B103" s="41" t="s">
        <v>19</v>
      </c>
      <c r="C103" s="42" t="s">
        <v>51</v>
      </c>
      <c r="D103" s="42" t="s">
        <v>26</v>
      </c>
      <c r="E103" s="43" t="s">
        <v>299</v>
      </c>
      <c r="F103" s="42" t="s">
        <v>20</v>
      </c>
      <c r="G103" s="84">
        <v>0.6</v>
      </c>
    </row>
    <row r="104" spans="1:7" s="11" customFormat="1" ht="15.75">
      <c r="A104" s="47"/>
      <c r="B104" s="41" t="s">
        <v>43</v>
      </c>
      <c r="C104" s="42" t="s">
        <v>51</v>
      </c>
      <c r="D104" s="42" t="s">
        <v>44</v>
      </c>
      <c r="E104" s="43"/>
      <c r="F104" s="42"/>
      <c r="G104" s="84">
        <f>G105</f>
        <v>7718.912200000001</v>
      </c>
    </row>
    <row r="105" spans="1:7" s="11" customFormat="1" ht="15.75">
      <c r="A105" s="47"/>
      <c r="B105" s="41" t="s">
        <v>52</v>
      </c>
      <c r="C105" s="42" t="s">
        <v>51</v>
      </c>
      <c r="D105" s="42" t="s">
        <v>53</v>
      </c>
      <c r="E105" s="43"/>
      <c r="F105" s="42"/>
      <c r="G105" s="84">
        <f>G107</f>
        <v>7718.912200000001</v>
      </c>
    </row>
    <row r="106" spans="1:7" s="11" customFormat="1" ht="15.75">
      <c r="A106" s="47"/>
      <c r="B106" s="41" t="s">
        <v>9</v>
      </c>
      <c r="C106" s="42" t="s">
        <v>51</v>
      </c>
      <c r="D106" s="42" t="s">
        <v>53</v>
      </c>
      <c r="E106" s="43" t="s">
        <v>10</v>
      </c>
      <c r="F106" s="42"/>
      <c r="G106" s="84">
        <f>G107</f>
        <v>7718.912200000001</v>
      </c>
    </row>
    <row r="107" spans="1:7" s="11" customFormat="1" ht="15.75">
      <c r="A107" s="40"/>
      <c r="B107" s="44" t="s">
        <v>54</v>
      </c>
      <c r="C107" s="42" t="s">
        <v>51</v>
      </c>
      <c r="D107" s="42" t="s">
        <v>53</v>
      </c>
      <c r="E107" s="43" t="s">
        <v>55</v>
      </c>
      <c r="F107" s="42"/>
      <c r="G107" s="84">
        <f>G108</f>
        <v>7718.912200000001</v>
      </c>
    </row>
    <row r="108" spans="1:7" s="11" customFormat="1" ht="15.75">
      <c r="A108" s="40"/>
      <c r="B108" s="44" t="s">
        <v>48</v>
      </c>
      <c r="C108" s="42" t="s">
        <v>51</v>
      </c>
      <c r="D108" s="42" t="s">
        <v>53</v>
      </c>
      <c r="E108" s="43" t="s">
        <v>55</v>
      </c>
      <c r="F108" s="42" t="s">
        <v>49</v>
      </c>
      <c r="G108" s="84">
        <f>4148.7312+1033.4712+377.70226+900+1259.00754</f>
        <v>7718.912200000001</v>
      </c>
    </row>
    <row r="109" spans="1:7" s="11" customFormat="1" ht="15.75">
      <c r="A109" s="40"/>
      <c r="B109" s="89" t="s">
        <v>264</v>
      </c>
      <c r="C109" s="97"/>
      <c r="D109" s="97"/>
      <c r="E109" s="98"/>
      <c r="F109" s="97"/>
      <c r="G109" s="156">
        <f>900+1259.00754</f>
        <v>2159.00754</v>
      </c>
    </row>
    <row r="110" spans="1:7" s="11" customFormat="1" ht="31.5">
      <c r="A110" s="40"/>
      <c r="B110" s="46" t="s">
        <v>353</v>
      </c>
      <c r="C110" s="42" t="s">
        <v>51</v>
      </c>
      <c r="D110" s="42" t="s">
        <v>314</v>
      </c>
      <c r="E110" s="43"/>
      <c r="F110" s="42"/>
      <c r="G110" s="84">
        <f>G111</f>
        <v>500</v>
      </c>
    </row>
    <row r="111" spans="1:7" s="11" customFormat="1" ht="15" customHeight="1">
      <c r="A111" s="40"/>
      <c r="B111" s="46" t="s">
        <v>315</v>
      </c>
      <c r="C111" s="42" t="s">
        <v>51</v>
      </c>
      <c r="D111" s="42" t="s">
        <v>316</v>
      </c>
      <c r="E111" s="43"/>
      <c r="F111" s="42"/>
      <c r="G111" s="84">
        <f>G112</f>
        <v>500</v>
      </c>
    </row>
    <row r="112" spans="1:7" s="11" customFormat="1" ht="47.25">
      <c r="A112" s="40"/>
      <c r="B112" s="68" t="s">
        <v>205</v>
      </c>
      <c r="C112" s="63" t="s">
        <v>51</v>
      </c>
      <c r="D112" s="63" t="s">
        <v>316</v>
      </c>
      <c r="E112" s="64" t="s">
        <v>150</v>
      </c>
      <c r="F112" s="42"/>
      <c r="G112" s="84">
        <f>G113</f>
        <v>500</v>
      </c>
    </row>
    <row r="113" spans="1:7" s="11" customFormat="1" ht="63">
      <c r="A113" s="40"/>
      <c r="B113" s="44" t="s">
        <v>317</v>
      </c>
      <c r="C113" s="63" t="s">
        <v>51</v>
      </c>
      <c r="D113" s="63" t="s">
        <v>316</v>
      </c>
      <c r="E113" s="64" t="s">
        <v>318</v>
      </c>
      <c r="F113" s="42"/>
      <c r="G113" s="84">
        <f>G114</f>
        <v>500</v>
      </c>
    </row>
    <row r="114" spans="1:7" s="11" customFormat="1" ht="15" customHeight="1">
      <c r="A114" s="40"/>
      <c r="B114" s="44" t="s">
        <v>320</v>
      </c>
      <c r="C114" s="63" t="s">
        <v>51</v>
      </c>
      <c r="D114" s="63" t="s">
        <v>316</v>
      </c>
      <c r="E114" s="64" t="s">
        <v>318</v>
      </c>
      <c r="F114" s="42" t="s">
        <v>319</v>
      </c>
      <c r="G114" s="84">
        <v>500</v>
      </c>
    </row>
    <row r="115" spans="1:7" s="12" customFormat="1" ht="15" customHeight="1">
      <c r="A115" s="36">
        <v>5</v>
      </c>
      <c r="B115" s="37" t="s">
        <v>56</v>
      </c>
      <c r="C115" s="38" t="s">
        <v>57</v>
      </c>
      <c r="D115" s="38"/>
      <c r="E115" s="38"/>
      <c r="F115" s="38"/>
      <c r="G115" s="39">
        <f>G116+G129+G165+G257+G276+G124</f>
        <v>638109.71308</v>
      </c>
    </row>
    <row r="116" spans="1:7" s="12" customFormat="1" ht="15.75">
      <c r="A116" s="81"/>
      <c r="B116" s="44" t="s">
        <v>7</v>
      </c>
      <c r="C116" s="43" t="s">
        <v>57</v>
      </c>
      <c r="D116" s="43" t="s">
        <v>8</v>
      </c>
      <c r="E116" s="43"/>
      <c r="F116" s="43"/>
      <c r="G116" s="84">
        <f>G117</f>
        <v>7543</v>
      </c>
    </row>
    <row r="117" spans="1:7" s="12" customFormat="1" ht="15.75">
      <c r="A117" s="81"/>
      <c r="B117" s="44" t="s">
        <v>39</v>
      </c>
      <c r="C117" s="43" t="s">
        <v>57</v>
      </c>
      <c r="D117" s="43" t="s">
        <v>40</v>
      </c>
      <c r="E117" s="43"/>
      <c r="F117" s="43"/>
      <c r="G117" s="84">
        <f>G118</f>
        <v>7543</v>
      </c>
    </row>
    <row r="118" spans="1:7" s="12" customFormat="1" ht="15.75">
      <c r="A118" s="81"/>
      <c r="B118" s="44" t="s">
        <v>9</v>
      </c>
      <c r="C118" s="43" t="s">
        <v>57</v>
      </c>
      <c r="D118" s="43" t="s">
        <v>40</v>
      </c>
      <c r="E118" s="43" t="s">
        <v>10</v>
      </c>
      <c r="F118" s="43"/>
      <c r="G118" s="84">
        <f>G122+G119</f>
        <v>7543</v>
      </c>
    </row>
    <row r="119" spans="1:7" s="12" customFormat="1" ht="47.25">
      <c r="A119" s="81"/>
      <c r="B119" s="44" t="s">
        <v>329</v>
      </c>
      <c r="C119" s="43" t="s">
        <v>57</v>
      </c>
      <c r="D119" s="43" t="s">
        <v>40</v>
      </c>
      <c r="E119" s="43" t="s">
        <v>147</v>
      </c>
      <c r="F119" s="43"/>
      <c r="G119" s="84">
        <f>G121+G120</f>
        <v>832</v>
      </c>
    </row>
    <row r="120" spans="1:7" s="12" customFormat="1" ht="47.25">
      <c r="A120" s="81"/>
      <c r="B120" s="41" t="s">
        <v>11</v>
      </c>
      <c r="C120" s="43" t="s">
        <v>57</v>
      </c>
      <c r="D120" s="43" t="s">
        <v>40</v>
      </c>
      <c r="E120" s="64" t="s">
        <v>147</v>
      </c>
      <c r="F120" s="43" t="s">
        <v>12</v>
      </c>
      <c r="G120" s="84">
        <f>346+104</f>
        <v>450</v>
      </c>
    </row>
    <row r="121" spans="1:7" s="12" customFormat="1" ht="15.75">
      <c r="A121" s="81"/>
      <c r="B121" s="41" t="s">
        <v>337</v>
      </c>
      <c r="C121" s="43" t="s">
        <v>57</v>
      </c>
      <c r="D121" s="43" t="s">
        <v>40</v>
      </c>
      <c r="E121" s="64" t="s">
        <v>147</v>
      </c>
      <c r="F121" s="43" t="s">
        <v>18</v>
      </c>
      <c r="G121" s="84">
        <f>832-450</f>
        <v>382</v>
      </c>
    </row>
    <row r="122" spans="1:7" s="12" customFormat="1" ht="31.5">
      <c r="A122" s="81"/>
      <c r="B122" s="44" t="s">
        <v>246</v>
      </c>
      <c r="C122" s="43" t="s">
        <v>57</v>
      </c>
      <c r="D122" s="43" t="s">
        <v>40</v>
      </c>
      <c r="E122" s="43" t="s">
        <v>245</v>
      </c>
      <c r="F122" s="43"/>
      <c r="G122" s="84">
        <f>G123</f>
        <v>6711</v>
      </c>
    </row>
    <row r="123" spans="1:7" s="12" customFormat="1" ht="31.5">
      <c r="A123" s="81"/>
      <c r="B123" s="44" t="s">
        <v>58</v>
      </c>
      <c r="C123" s="43" t="s">
        <v>57</v>
      </c>
      <c r="D123" s="43" t="s">
        <v>40</v>
      </c>
      <c r="E123" s="43" t="s">
        <v>245</v>
      </c>
      <c r="F123" s="43" t="s">
        <v>59</v>
      </c>
      <c r="G123" s="84">
        <f>6711</f>
        <v>6711</v>
      </c>
    </row>
    <row r="124" spans="1:7" s="12" customFormat="1" ht="15.75">
      <c r="A124" s="81"/>
      <c r="B124" s="62" t="s">
        <v>148</v>
      </c>
      <c r="C124" s="63" t="s">
        <v>57</v>
      </c>
      <c r="D124" s="63" t="s">
        <v>149</v>
      </c>
      <c r="E124" s="64"/>
      <c r="F124" s="63"/>
      <c r="G124" s="84">
        <f>G125</f>
        <v>2800</v>
      </c>
    </row>
    <row r="125" spans="1:7" s="12" customFormat="1" ht="31.5">
      <c r="A125" s="81"/>
      <c r="B125" s="68" t="s">
        <v>239</v>
      </c>
      <c r="C125" s="63" t="s">
        <v>57</v>
      </c>
      <c r="D125" s="63" t="s">
        <v>240</v>
      </c>
      <c r="E125" s="64"/>
      <c r="F125" s="63"/>
      <c r="G125" s="84">
        <f>G126</f>
        <v>2800</v>
      </c>
    </row>
    <row r="126" spans="1:7" s="12" customFormat="1" ht="47.25">
      <c r="A126" s="81"/>
      <c r="B126" s="68" t="s">
        <v>205</v>
      </c>
      <c r="C126" s="63" t="s">
        <v>57</v>
      </c>
      <c r="D126" s="63" t="s">
        <v>240</v>
      </c>
      <c r="E126" s="64" t="s">
        <v>150</v>
      </c>
      <c r="F126" s="63"/>
      <c r="G126" s="84">
        <f>G127</f>
        <v>2800</v>
      </c>
    </row>
    <row r="127" spans="1:7" s="12" customFormat="1" ht="78.75">
      <c r="A127" s="81"/>
      <c r="B127" s="68" t="s">
        <v>151</v>
      </c>
      <c r="C127" s="63" t="s">
        <v>57</v>
      </c>
      <c r="D127" s="63" t="s">
        <v>240</v>
      </c>
      <c r="E127" s="64" t="s">
        <v>152</v>
      </c>
      <c r="F127" s="63"/>
      <c r="G127" s="84">
        <f>G128</f>
        <v>2800</v>
      </c>
    </row>
    <row r="128" spans="1:7" s="12" customFormat="1" ht="15.75">
      <c r="A128" s="81"/>
      <c r="B128" s="41" t="s">
        <v>337</v>
      </c>
      <c r="C128" s="63" t="s">
        <v>57</v>
      </c>
      <c r="D128" s="63" t="s">
        <v>240</v>
      </c>
      <c r="E128" s="64" t="s">
        <v>152</v>
      </c>
      <c r="F128" s="63" t="s">
        <v>18</v>
      </c>
      <c r="G128" s="84">
        <f>2800</f>
        <v>2800</v>
      </c>
    </row>
    <row r="129" spans="1:7" s="12" customFormat="1" ht="15" customHeight="1">
      <c r="A129" s="81"/>
      <c r="B129" s="41" t="s">
        <v>60</v>
      </c>
      <c r="C129" s="43" t="s">
        <v>57</v>
      </c>
      <c r="D129" s="43" t="s">
        <v>61</v>
      </c>
      <c r="E129" s="43"/>
      <c r="F129" s="43"/>
      <c r="G129" s="84">
        <f>G130+G137+G158</f>
        <v>88414.68789</v>
      </c>
    </row>
    <row r="130" spans="1:7" s="12" customFormat="1" ht="15" customHeight="1">
      <c r="A130" s="81"/>
      <c r="B130" s="41" t="s">
        <v>207</v>
      </c>
      <c r="C130" s="42" t="s">
        <v>57</v>
      </c>
      <c r="D130" s="42" t="s">
        <v>206</v>
      </c>
      <c r="E130" s="43"/>
      <c r="F130" s="42"/>
      <c r="G130" s="84">
        <f>G131</f>
        <v>9192</v>
      </c>
    </row>
    <row r="131" spans="1:7" s="12" customFormat="1" ht="31.5">
      <c r="A131" s="81"/>
      <c r="B131" s="41" t="s">
        <v>238</v>
      </c>
      <c r="C131" s="42" t="s">
        <v>57</v>
      </c>
      <c r="D131" s="42" t="s">
        <v>206</v>
      </c>
      <c r="E131" s="43" t="s">
        <v>99</v>
      </c>
      <c r="F131" s="51"/>
      <c r="G131" s="84">
        <f>G132</f>
        <v>9192</v>
      </c>
    </row>
    <row r="132" spans="1:7" s="12" customFormat="1" ht="31.5">
      <c r="A132" s="81"/>
      <c r="B132" s="49" t="s">
        <v>202</v>
      </c>
      <c r="C132" s="42" t="s">
        <v>57</v>
      </c>
      <c r="D132" s="42" t="s">
        <v>206</v>
      </c>
      <c r="E132" s="43" t="s">
        <v>203</v>
      </c>
      <c r="F132" s="51"/>
      <c r="G132" s="84">
        <f>G133+G135</f>
        <v>9192</v>
      </c>
    </row>
    <row r="133" spans="1:7" s="12" customFormat="1" ht="47.25">
      <c r="A133" s="81"/>
      <c r="B133" s="49" t="s">
        <v>228</v>
      </c>
      <c r="C133" s="42" t="s">
        <v>57</v>
      </c>
      <c r="D133" s="42" t="s">
        <v>206</v>
      </c>
      <c r="E133" s="43" t="s">
        <v>229</v>
      </c>
      <c r="F133" s="94"/>
      <c r="G133" s="84">
        <f>G134</f>
        <v>92</v>
      </c>
    </row>
    <row r="134" spans="1:7" s="12" customFormat="1" ht="15.75">
      <c r="A134" s="81"/>
      <c r="B134" s="41" t="s">
        <v>337</v>
      </c>
      <c r="C134" s="42" t="s">
        <v>57</v>
      </c>
      <c r="D134" s="42" t="s">
        <v>206</v>
      </c>
      <c r="E134" s="43" t="s">
        <v>229</v>
      </c>
      <c r="F134" s="51" t="s">
        <v>18</v>
      </c>
      <c r="G134" s="84">
        <v>92</v>
      </c>
    </row>
    <row r="135" spans="1:7" s="12" customFormat="1" ht="63">
      <c r="A135" s="81"/>
      <c r="B135" s="49" t="s">
        <v>227</v>
      </c>
      <c r="C135" s="42" t="s">
        <v>57</v>
      </c>
      <c r="D135" s="42" t="s">
        <v>206</v>
      </c>
      <c r="E135" s="43" t="s">
        <v>272</v>
      </c>
      <c r="F135" s="94"/>
      <c r="G135" s="84">
        <f>G136</f>
        <v>9100</v>
      </c>
    </row>
    <row r="136" spans="1:7" s="12" customFormat="1" ht="15.75">
      <c r="A136" s="81"/>
      <c r="B136" s="41" t="s">
        <v>337</v>
      </c>
      <c r="C136" s="42" t="s">
        <v>57</v>
      </c>
      <c r="D136" s="42" t="s">
        <v>206</v>
      </c>
      <c r="E136" s="43" t="s">
        <v>272</v>
      </c>
      <c r="F136" s="51" t="s">
        <v>18</v>
      </c>
      <c r="G136" s="84">
        <f>8850+250</f>
        <v>9100</v>
      </c>
    </row>
    <row r="137" spans="1:7" s="10" customFormat="1" ht="15.75">
      <c r="A137" s="45"/>
      <c r="B137" s="41" t="s">
        <v>62</v>
      </c>
      <c r="C137" s="42" t="s">
        <v>57</v>
      </c>
      <c r="D137" s="42" t="s">
        <v>63</v>
      </c>
      <c r="E137" s="43"/>
      <c r="F137" s="42"/>
      <c r="G137" s="84">
        <f>G138+G146</f>
        <v>69018.60626</v>
      </c>
    </row>
    <row r="138" spans="1:10" s="10" customFormat="1" ht="31.5">
      <c r="A138" s="45"/>
      <c r="B138" s="41" t="s">
        <v>183</v>
      </c>
      <c r="C138" s="42" t="s">
        <v>57</v>
      </c>
      <c r="D138" s="42" t="s">
        <v>63</v>
      </c>
      <c r="E138" s="43" t="s">
        <v>64</v>
      </c>
      <c r="F138" s="51"/>
      <c r="G138" s="84">
        <f>G139</f>
        <v>55437.860400000005</v>
      </c>
      <c r="H138" s="11"/>
      <c r="I138" s="11"/>
      <c r="J138" s="11"/>
    </row>
    <row r="139" spans="1:10" s="10" customFormat="1" ht="15.75">
      <c r="A139" s="45"/>
      <c r="B139" s="49" t="s">
        <v>122</v>
      </c>
      <c r="C139" s="42" t="s">
        <v>57</v>
      </c>
      <c r="D139" s="42" t="s">
        <v>63</v>
      </c>
      <c r="E139" s="43" t="s">
        <v>65</v>
      </c>
      <c r="F139" s="51"/>
      <c r="G139" s="84">
        <f>G143+G140</f>
        <v>55437.860400000005</v>
      </c>
      <c r="H139" s="11"/>
      <c r="I139" s="11"/>
      <c r="J139" s="11"/>
    </row>
    <row r="140" spans="1:10" s="10" customFormat="1" ht="78.75">
      <c r="A140" s="45"/>
      <c r="B140" s="49" t="s">
        <v>248</v>
      </c>
      <c r="C140" s="42" t="s">
        <v>57</v>
      </c>
      <c r="D140" s="42" t="s">
        <v>63</v>
      </c>
      <c r="E140" s="43" t="s">
        <v>247</v>
      </c>
      <c r="F140" s="51"/>
      <c r="G140" s="84">
        <f>G141+G142</f>
        <v>48457.860400000005</v>
      </c>
      <c r="H140" s="11"/>
      <c r="I140" s="11"/>
      <c r="J140" s="11"/>
    </row>
    <row r="141" spans="1:10" s="10" customFormat="1" ht="15.75">
      <c r="A141" s="45"/>
      <c r="B141" s="41" t="s">
        <v>337</v>
      </c>
      <c r="C141" s="42" t="s">
        <v>57</v>
      </c>
      <c r="D141" s="42" t="s">
        <v>63</v>
      </c>
      <c r="E141" s="43" t="s">
        <v>247</v>
      </c>
      <c r="F141" s="51" t="s">
        <v>18</v>
      </c>
      <c r="G141" s="84">
        <f>17600+6405.669-1542.1396+215.5257</f>
        <v>22679.0551</v>
      </c>
      <c r="H141" s="11"/>
      <c r="I141" s="11"/>
      <c r="J141" s="11"/>
    </row>
    <row r="142" spans="1:10" s="10" customFormat="1" ht="15.75">
      <c r="A142" s="45"/>
      <c r="B142" s="41" t="s">
        <v>19</v>
      </c>
      <c r="C142" s="42" t="s">
        <v>57</v>
      </c>
      <c r="D142" s="42" t="s">
        <v>63</v>
      </c>
      <c r="E142" s="43" t="s">
        <v>247</v>
      </c>
      <c r="F142" s="51" t="s">
        <v>20</v>
      </c>
      <c r="G142" s="84">
        <f>32400-6405.669-215.5257</f>
        <v>25778.8053</v>
      </c>
      <c r="H142" s="11"/>
      <c r="I142" s="11"/>
      <c r="J142" s="11"/>
    </row>
    <row r="143" spans="1:10" s="10" customFormat="1" ht="78.75">
      <c r="A143" s="45"/>
      <c r="B143" s="49" t="s">
        <v>277</v>
      </c>
      <c r="C143" s="42" t="s">
        <v>57</v>
      </c>
      <c r="D143" s="42" t="s">
        <v>63</v>
      </c>
      <c r="E143" s="43" t="s">
        <v>273</v>
      </c>
      <c r="F143" s="95"/>
      <c r="G143" s="84">
        <f>G144+G145</f>
        <v>6980</v>
      </c>
      <c r="H143" s="54"/>
      <c r="I143" s="54"/>
      <c r="J143" s="11"/>
    </row>
    <row r="144" spans="1:10" s="13" customFormat="1" ht="15.75" customHeight="1">
      <c r="A144" s="45"/>
      <c r="B144" s="41" t="s">
        <v>337</v>
      </c>
      <c r="C144" s="42" t="s">
        <v>57</v>
      </c>
      <c r="D144" s="42" t="s">
        <v>63</v>
      </c>
      <c r="E144" s="43" t="s">
        <v>273</v>
      </c>
      <c r="F144" s="51" t="s">
        <v>18</v>
      </c>
      <c r="G144" s="84">
        <f>3380+711.739+23.9493</f>
        <v>4115.6883</v>
      </c>
      <c r="H144" s="52"/>
      <c r="I144" s="54"/>
      <c r="J144" s="11"/>
    </row>
    <row r="145" spans="1:10" s="13" customFormat="1" ht="15.75" customHeight="1">
      <c r="A145" s="45"/>
      <c r="B145" s="41" t="s">
        <v>19</v>
      </c>
      <c r="C145" s="42" t="s">
        <v>57</v>
      </c>
      <c r="D145" s="42" t="s">
        <v>63</v>
      </c>
      <c r="E145" s="43" t="s">
        <v>273</v>
      </c>
      <c r="F145" s="51" t="s">
        <v>20</v>
      </c>
      <c r="G145" s="84">
        <f>3600-711.739-23.9493</f>
        <v>2864.3116999999997</v>
      </c>
      <c r="H145" s="52"/>
      <c r="I145" s="54"/>
      <c r="J145" s="11"/>
    </row>
    <row r="146" spans="1:10" s="13" customFormat="1" ht="15" customHeight="1">
      <c r="A146" s="45"/>
      <c r="B146" s="41" t="s">
        <v>242</v>
      </c>
      <c r="C146" s="42" t="s">
        <v>57</v>
      </c>
      <c r="D146" s="42" t="s">
        <v>63</v>
      </c>
      <c r="E146" s="43" t="s">
        <v>101</v>
      </c>
      <c r="F146" s="51"/>
      <c r="G146" s="84">
        <f>G147</f>
        <v>13580.745860000003</v>
      </c>
      <c r="H146" s="52"/>
      <c r="I146" s="54"/>
      <c r="J146" s="11"/>
    </row>
    <row r="147" spans="1:10" s="13" customFormat="1" ht="15" customHeight="1">
      <c r="A147" s="45"/>
      <c r="B147" s="41" t="s">
        <v>223</v>
      </c>
      <c r="C147" s="42" t="s">
        <v>57</v>
      </c>
      <c r="D147" s="42" t="s">
        <v>63</v>
      </c>
      <c r="E147" s="43" t="s">
        <v>102</v>
      </c>
      <c r="F147" s="51"/>
      <c r="G147" s="84">
        <f>G148+G151+G154+G156</f>
        <v>13580.745860000003</v>
      </c>
      <c r="H147" s="52"/>
      <c r="I147" s="54"/>
      <c r="J147" s="11"/>
    </row>
    <row r="148" spans="1:10" s="13" customFormat="1" ht="63">
      <c r="A148" s="45"/>
      <c r="B148" s="49" t="s">
        <v>103</v>
      </c>
      <c r="C148" s="42" t="s">
        <v>57</v>
      </c>
      <c r="D148" s="42" t="s">
        <v>63</v>
      </c>
      <c r="E148" s="43" t="s">
        <v>249</v>
      </c>
      <c r="F148" s="95"/>
      <c r="G148" s="84">
        <f>G149+G150</f>
        <v>6726.3</v>
      </c>
      <c r="H148" s="52"/>
      <c r="I148" s="54"/>
      <c r="J148" s="11"/>
    </row>
    <row r="149" spans="1:10" s="13" customFormat="1" ht="15" customHeight="1">
      <c r="A149" s="45"/>
      <c r="B149" s="41" t="s">
        <v>337</v>
      </c>
      <c r="C149" s="42" t="s">
        <v>57</v>
      </c>
      <c r="D149" s="42" t="s">
        <v>63</v>
      </c>
      <c r="E149" s="43" t="s">
        <v>249</v>
      </c>
      <c r="F149" s="51" t="s">
        <v>18</v>
      </c>
      <c r="G149" s="84">
        <f>6726.3-5283.1527</f>
        <v>1443.1473000000005</v>
      </c>
      <c r="H149" s="52"/>
      <c r="I149" s="54"/>
      <c r="J149" s="11"/>
    </row>
    <row r="150" spans="1:10" s="13" customFormat="1" ht="31.5">
      <c r="A150" s="45"/>
      <c r="B150" s="41" t="s">
        <v>58</v>
      </c>
      <c r="C150" s="42" t="s">
        <v>57</v>
      </c>
      <c r="D150" s="42" t="s">
        <v>63</v>
      </c>
      <c r="E150" s="43" t="s">
        <v>249</v>
      </c>
      <c r="F150" s="51" t="s">
        <v>59</v>
      </c>
      <c r="G150" s="84">
        <v>5283.1527</v>
      </c>
      <c r="H150" s="52"/>
      <c r="I150" s="54"/>
      <c r="J150" s="11"/>
    </row>
    <row r="151" spans="1:10" s="13" customFormat="1" ht="78.75">
      <c r="A151" s="45"/>
      <c r="B151" s="49" t="s">
        <v>104</v>
      </c>
      <c r="C151" s="42" t="s">
        <v>57</v>
      </c>
      <c r="D151" s="42" t="s">
        <v>63</v>
      </c>
      <c r="E151" s="43" t="s">
        <v>274</v>
      </c>
      <c r="F151" s="95"/>
      <c r="G151" s="84">
        <f>G152+G153</f>
        <v>3223.581</v>
      </c>
      <c r="H151" s="52"/>
      <c r="I151" s="54"/>
      <c r="J151" s="11"/>
    </row>
    <row r="152" spans="1:10" s="13" customFormat="1" ht="15.75">
      <c r="A152" s="45"/>
      <c r="B152" s="41" t="s">
        <v>337</v>
      </c>
      <c r="C152" s="42" t="s">
        <v>57</v>
      </c>
      <c r="D152" s="42" t="s">
        <v>63</v>
      </c>
      <c r="E152" s="43" t="s">
        <v>274</v>
      </c>
      <c r="F152" s="51" t="s">
        <v>18</v>
      </c>
      <c r="G152" s="84">
        <f>3000-1560.68195+500-500+15</f>
        <v>1454.31805</v>
      </c>
      <c r="H152" s="52"/>
      <c r="I152" s="54"/>
      <c r="J152" s="11"/>
    </row>
    <row r="153" spans="1:10" s="13" customFormat="1" ht="31.5">
      <c r="A153" s="45"/>
      <c r="B153" s="41" t="s">
        <v>58</v>
      </c>
      <c r="C153" s="42" t="s">
        <v>57</v>
      </c>
      <c r="D153" s="42" t="s">
        <v>63</v>
      </c>
      <c r="E153" s="43" t="s">
        <v>274</v>
      </c>
      <c r="F153" s="51" t="s">
        <v>59</v>
      </c>
      <c r="G153" s="84">
        <f>1560.68195+208.581</f>
        <v>1769.2629499999998</v>
      </c>
      <c r="H153" s="52"/>
      <c r="I153" s="54"/>
      <c r="J153" s="11"/>
    </row>
    <row r="154" spans="1:10" s="13" customFormat="1" ht="63">
      <c r="A154" s="45"/>
      <c r="B154" s="49" t="s">
        <v>372</v>
      </c>
      <c r="C154" s="42" t="s">
        <v>57</v>
      </c>
      <c r="D154" s="42" t="s">
        <v>63</v>
      </c>
      <c r="E154" s="43" t="s">
        <v>373</v>
      </c>
      <c r="F154" s="95"/>
      <c r="G154" s="84">
        <f>G155</f>
        <v>2850.8648600000006</v>
      </c>
      <c r="H154" s="52"/>
      <c r="I154" s="54"/>
      <c r="J154" s="11"/>
    </row>
    <row r="155" spans="1:10" s="13" customFormat="1" ht="31.5">
      <c r="A155" s="45"/>
      <c r="B155" s="41" t="s">
        <v>58</v>
      </c>
      <c r="C155" s="42" t="s">
        <v>57</v>
      </c>
      <c r="D155" s="42" t="s">
        <v>63</v>
      </c>
      <c r="E155" s="43" t="s">
        <v>373</v>
      </c>
      <c r="F155" s="95">
        <v>600</v>
      </c>
      <c r="G155" s="84">
        <f>25000-13500-1768.15614-6880.979</f>
        <v>2850.8648600000006</v>
      </c>
      <c r="H155" s="52"/>
      <c r="I155" s="54"/>
      <c r="J155" s="11"/>
    </row>
    <row r="156" spans="1:10" s="13" customFormat="1" ht="75" customHeight="1">
      <c r="A156" s="45"/>
      <c r="B156" s="49" t="s">
        <v>374</v>
      </c>
      <c r="C156" s="42" t="s">
        <v>57</v>
      </c>
      <c r="D156" s="42" t="s">
        <v>63</v>
      </c>
      <c r="E156" s="43" t="s">
        <v>375</v>
      </c>
      <c r="F156" s="95"/>
      <c r="G156" s="84">
        <f>G157</f>
        <v>780</v>
      </c>
      <c r="H156" s="52"/>
      <c r="I156" s="54"/>
      <c r="J156" s="11"/>
    </row>
    <row r="157" spans="1:10" s="13" customFormat="1" ht="15.75">
      <c r="A157" s="45"/>
      <c r="B157" s="41" t="s">
        <v>337</v>
      </c>
      <c r="C157" s="42" t="s">
        <v>57</v>
      </c>
      <c r="D157" s="42" t="s">
        <v>63</v>
      </c>
      <c r="E157" s="43" t="s">
        <v>375</v>
      </c>
      <c r="F157" s="51" t="s">
        <v>18</v>
      </c>
      <c r="G157" s="84">
        <f>780</f>
        <v>780</v>
      </c>
      <c r="H157" s="52"/>
      <c r="I157" s="54"/>
      <c r="J157" s="11"/>
    </row>
    <row r="158" spans="1:7" s="10" customFormat="1" ht="15.75">
      <c r="A158" s="45"/>
      <c r="B158" s="41" t="s">
        <v>210</v>
      </c>
      <c r="C158" s="42" t="s">
        <v>57</v>
      </c>
      <c r="D158" s="42" t="s">
        <v>209</v>
      </c>
      <c r="E158" s="43"/>
      <c r="F158" s="42"/>
      <c r="G158" s="84">
        <f>G159</f>
        <v>10204.08163</v>
      </c>
    </row>
    <row r="159" spans="1:10" s="10" customFormat="1" ht="31.5">
      <c r="A159" s="45"/>
      <c r="B159" s="41" t="s">
        <v>225</v>
      </c>
      <c r="C159" s="42" t="s">
        <v>57</v>
      </c>
      <c r="D159" s="42" t="s">
        <v>209</v>
      </c>
      <c r="E159" s="43" t="s">
        <v>76</v>
      </c>
      <c r="F159" s="51"/>
      <c r="G159" s="84">
        <f>G160</f>
        <v>10204.08163</v>
      </c>
      <c r="H159" s="11"/>
      <c r="I159" s="11"/>
      <c r="J159" s="11"/>
    </row>
    <row r="160" spans="1:7" s="15" customFormat="1" ht="31.5">
      <c r="A160" s="50"/>
      <c r="B160" s="53" t="s">
        <v>211</v>
      </c>
      <c r="C160" s="42" t="s">
        <v>57</v>
      </c>
      <c r="D160" s="42" t="s">
        <v>209</v>
      </c>
      <c r="E160" s="43" t="s">
        <v>77</v>
      </c>
      <c r="F160" s="42"/>
      <c r="G160" s="84">
        <f>G161+G163</f>
        <v>10204.08163</v>
      </c>
    </row>
    <row r="161" spans="1:10" s="10" customFormat="1" ht="63">
      <c r="A161" s="45"/>
      <c r="B161" s="49" t="s">
        <v>213</v>
      </c>
      <c r="C161" s="42" t="s">
        <v>57</v>
      </c>
      <c r="D161" s="42" t="s">
        <v>209</v>
      </c>
      <c r="E161" s="43" t="s">
        <v>214</v>
      </c>
      <c r="F161" s="51"/>
      <c r="G161" s="84">
        <f>G162</f>
        <v>10000</v>
      </c>
      <c r="H161" s="11"/>
      <c r="I161" s="11"/>
      <c r="J161" s="11"/>
    </row>
    <row r="162" spans="1:10" s="10" customFormat="1" ht="15.75" customHeight="1">
      <c r="A162" s="45"/>
      <c r="B162" s="41" t="s">
        <v>337</v>
      </c>
      <c r="C162" s="42" t="s">
        <v>57</v>
      </c>
      <c r="D162" s="42" t="s">
        <v>209</v>
      </c>
      <c r="E162" s="43" t="s">
        <v>214</v>
      </c>
      <c r="F162" s="51" t="s">
        <v>18</v>
      </c>
      <c r="G162" s="84">
        <v>10000</v>
      </c>
      <c r="H162" s="11"/>
      <c r="I162" s="11"/>
      <c r="J162" s="11"/>
    </row>
    <row r="163" spans="1:10" s="10" customFormat="1" ht="78.75">
      <c r="A163" s="45"/>
      <c r="B163" s="49" t="s">
        <v>230</v>
      </c>
      <c r="C163" s="42" t="s">
        <v>57</v>
      </c>
      <c r="D163" s="42" t="s">
        <v>209</v>
      </c>
      <c r="E163" s="43" t="s">
        <v>275</v>
      </c>
      <c r="F163" s="95"/>
      <c r="G163" s="84">
        <f>G164</f>
        <v>204.08163</v>
      </c>
      <c r="H163" s="54"/>
      <c r="I163" s="54"/>
      <c r="J163" s="11"/>
    </row>
    <row r="164" spans="1:10" s="13" customFormat="1" ht="15.75">
      <c r="A164" s="45"/>
      <c r="B164" s="41" t="s">
        <v>337</v>
      </c>
      <c r="C164" s="42" t="s">
        <v>57</v>
      </c>
      <c r="D164" s="42" t="s">
        <v>209</v>
      </c>
      <c r="E164" s="43" t="s">
        <v>275</v>
      </c>
      <c r="F164" s="51" t="s">
        <v>18</v>
      </c>
      <c r="G164" s="84">
        <v>204.08163</v>
      </c>
      <c r="H164" s="52"/>
      <c r="I164" s="54"/>
      <c r="J164" s="11"/>
    </row>
    <row r="165" spans="1:9" s="10" customFormat="1" ht="15.75">
      <c r="A165" s="45"/>
      <c r="B165" s="41" t="s">
        <v>66</v>
      </c>
      <c r="C165" s="42" t="s">
        <v>57</v>
      </c>
      <c r="D165" s="42" t="s">
        <v>67</v>
      </c>
      <c r="E165" s="43"/>
      <c r="F165" s="51"/>
      <c r="G165" s="84">
        <f>G166+G178+G188+G234</f>
        <v>500914.53599</v>
      </c>
      <c r="H165" s="55"/>
      <c r="I165" s="55"/>
    </row>
    <row r="166" spans="1:9" s="10" customFormat="1" ht="15" customHeight="1">
      <c r="A166" s="45"/>
      <c r="B166" s="41" t="s">
        <v>68</v>
      </c>
      <c r="C166" s="42" t="s">
        <v>57</v>
      </c>
      <c r="D166" s="42" t="s">
        <v>69</v>
      </c>
      <c r="E166" s="43"/>
      <c r="F166" s="51"/>
      <c r="G166" s="84">
        <f>G167+G170+G174</f>
        <v>7732</v>
      </c>
      <c r="H166" s="55"/>
      <c r="I166" s="55"/>
    </row>
    <row r="167" spans="1:7" s="13" customFormat="1" ht="31.5">
      <c r="A167" s="45"/>
      <c r="B167" s="41" t="s">
        <v>219</v>
      </c>
      <c r="C167" s="42" t="s">
        <v>57</v>
      </c>
      <c r="D167" s="42" t="s">
        <v>69</v>
      </c>
      <c r="E167" s="43" t="s">
        <v>70</v>
      </c>
      <c r="F167" s="51"/>
      <c r="G167" s="84">
        <f>G168</f>
        <v>1000</v>
      </c>
    </row>
    <row r="168" spans="1:7" s="13" customFormat="1" ht="78.75">
      <c r="A168" s="45"/>
      <c r="B168" s="49" t="s">
        <v>71</v>
      </c>
      <c r="C168" s="42" t="s">
        <v>57</v>
      </c>
      <c r="D168" s="42" t="s">
        <v>69</v>
      </c>
      <c r="E168" s="43" t="s">
        <v>72</v>
      </c>
      <c r="F168" s="51"/>
      <c r="G168" s="84">
        <f>G169</f>
        <v>1000</v>
      </c>
    </row>
    <row r="169" spans="1:7" s="16" customFormat="1" ht="15" customHeight="1">
      <c r="A169" s="48"/>
      <c r="B169" s="41" t="s">
        <v>337</v>
      </c>
      <c r="C169" s="42" t="s">
        <v>57</v>
      </c>
      <c r="D169" s="42" t="s">
        <v>69</v>
      </c>
      <c r="E169" s="43" t="s">
        <v>72</v>
      </c>
      <c r="F169" s="42" t="s">
        <v>18</v>
      </c>
      <c r="G169" s="84">
        <v>1000</v>
      </c>
    </row>
    <row r="170" spans="1:7" s="16" customFormat="1" ht="30.75" customHeight="1">
      <c r="A170" s="48"/>
      <c r="B170" s="49" t="s">
        <v>178</v>
      </c>
      <c r="C170" s="42" t="s">
        <v>57</v>
      </c>
      <c r="D170" s="42" t="s">
        <v>69</v>
      </c>
      <c r="E170" s="43" t="s">
        <v>114</v>
      </c>
      <c r="F170" s="42"/>
      <c r="G170" s="84">
        <f>G171</f>
        <v>6000</v>
      </c>
    </row>
    <row r="171" spans="1:7" s="16" customFormat="1" ht="31.5">
      <c r="A171" s="48"/>
      <c r="B171" s="49" t="s">
        <v>179</v>
      </c>
      <c r="C171" s="42" t="s">
        <v>57</v>
      </c>
      <c r="D171" s="42" t="s">
        <v>69</v>
      </c>
      <c r="E171" s="43" t="s">
        <v>180</v>
      </c>
      <c r="F171" s="42"/>
      <c r="G171" s="84">
        <f>G172</f>
        <v>6000</v>
      </c>
    </row>
    <row r="172" spans="1:7" s="16" customFormat="1" ht="63">
      <c r="A172" s="48"/>
      <c r="B172" s="49" t="s">
        <v>262</v>
      </c>
      <c r="C172" s="42" t="s">
        <v>57</v>
      </c>
      <c r="D172" s="42" t="s">
        <v>69</v>
      </c>
      <c r="E172" s="43" t="s">
        <v>261</v>
      </c>
      <c r="F172" s="42"/>
      <c r="G172" s="84">
        <f>G173</f>
        <v>6000</v>
      </c>
    </row>
    <row r="173" spans="1:7" s="16" customFormat="1" ht="15.75">
      <c r="A173" s="48"/>
      <c r="B173" s="41" t="s">
        <v>337</v>
      </c>
      <c r="C173" s="42" t="s">
        <v>57</v>
      </c>
      <c r="D173" s="42" t="s">
        <v>69</v>
      </c>
      <c r="E173" s="43" t="s">
        <v>261</v>
      </c>
      <c r="F173" s="42" t="s">
        <v>18</v>
      </c>
      <c r="G173" s="84">
        <v>6000</v>
      </c>
    </row>
    <row r="174" spans="1:7" s="16" customFormat="1" ht="31.5">
      <c r="A174" s="48"/>
      <c r="B174" s="49" t="s">
        <v>391</v>
      </c>
      <c r="C174" s="42" t="s">
        <v>57</v>
      </c>
      <c r="D174" s="42" t="s">
        <v>69</v>
      </c>
      <c r="E174" s="43" t="s">
        <v>392</v>
      </c>
      <c r="F174" s="42"/>
      <c r="G174" s="84">
        <f>G175</f>
        <v>732</v>
      </c>
    </row>
    <row r="175" spans="1:7" s="16" customFormat="1" ht="31.5">
      <c r="A175" s="48"/>
      <c r="B175" s="49" t="s">
        <v>393</v>
      </c>
      <c r="C175" s="42" t="s">
        <v>57</v>
      </c>
      <c r="D175" s="42" t="s">
        <v>69</v>
      </c>
      <c r="E175" s="43" t="s">
        <v>394</v>
      </c>
      <c r="F175" s="42"/>
      <c r="G175" s="84">
        <f>G176</f>
        <v>732</v>
      </c>
    </row>
    <row r="176" spans="1:7" s="16" customFormat="1" ht="63">
      <c r="A176" s="48"/>
      <c r="B176" s="49" t="s">
        <v>395</v>
      </c>
      <c r="C176" s="42" t="s">
        <v>57</v>
      </c>
      <c r="D176" s="42" t="s">
        <v>69</v>
      </c>
      <c r="E176" s="43" t="s">
        <v>396</v>
      </c>
      <c r="F176" s="42"/>
      <c r="G176" s="84">
        <f>G177</f>
        <v>732</v>
      </c>
    </row>
    <row r="177" spans="1:7" s="16" customFormat="1" ht="15.75">
      <c r="A177" s="48"/>
      <c r="B177" s="41" t="s">
        <v>397</v>
      </c>
      <c r="C177" s="42" t="s">
        <v>57</v>
      </c>
      <c r="D177" s="42" t="s">
        <v>69</v>
      </c>
      <c r="E177" s="43" t="s">
        <v>396</v>
      </c>
      <c r="F177" s="42" t="s">
        <v>18</v>
      </c>
      <c r="G177" s="84">
        <f>532+200</f>
        <v>732</v>
      </c>
    </row>
    <row r="178" spans="1:7" s="18" customFormat="1" ht="15" customHeight="1">
      <c r="A178" s="50"/>
      <c r="B178" s="41" t="s">
        <v>73</v>
      </c>
      <c r="C178" s="42" t="s">
        <v>57</v>
      </c>
      <c r="D178" s="42" t="s">
        <v>74</v>
      </c>
      <c r="E178" s="43"/>
      <c r="F178" s="42"/>
      <c r="G178" s="84">
        <f>G183+G179</f>
        <v>12972.99541</v>
      </c>
    </row>
    <row r="179" spans="1:7" s="18" customFormat="1" ht="31.5">
      <c r="A179" s="50"/>
      <c r="B179" s="41" t="s">
        <v>225</v>
      </c>
      <c r="C179" s="42" t="s">
        <v>57</v>
      </c>
      <c r="D179" s="42" t="s">
        <v>74</v>
      </c>
      <c r="E179" s="43" t="s">
        <v>76</v>
      </c>
      <c r="F179" s="42"/>
      <c r="G179" s="84">
        <f>G180</f>
        <v>299.99541</v>
      </c>
    </row>
    <row r="180" spans="1:7" s="18" customFormat="1" ht="31.5">
      <c r="A180" s="50"/>
      <c r="B180" s="53" t="s">
        <v>211</v>
      </c>
      <c r="C180" s="42" t="s">
        <v>57</v>
      </c>
      <c r="D180" s="42" t="s">
        <v>74</v>
      </c>
      <c r="E180" s="43" t="s">
        <v>77</v>
      </c>
      <c r="F180" s="42"/>
      <c r="G180" s="84">
        <f>G181</f>
        <v>299.99541</v>
      </c>
    </row>
    <row r="181" spans="1:7" s="18" customFormat="1" ht="78.75">
      <c r="A181" s="50"/>
      <c r="B181" s="49" t="s">
        <v>265</v>
      </c>
      <c r="C181" s="42" t="s">
        <v>57</v>
      </c>
      <c r="D181" s="42" t="s">
        <v>74</v>
      </c>
      <c r="E181" s="43" t="s">
        <v>79</v>
      </c>
      <c r="F181" s="42"/>
      <c r="G181" s="84">
        <f>G182</f>
        <v>299.99541</v>
      </c>
    </row>
    <row r="182" spans="1:7" s="18" customFormat="1" ht="15" customHeight="1">
      <c r="A182" s="50"/>
      <c r="B182" s="41" t="s">
        <v>337</v>
      </c>
      <c r="C182" s="42" t="s">
        <v>57</v>
      </c>
      <c r="D182" s="42" t="s">
        <v>74</v>
      </c>
      <c r="E182" s="43" t="s">
        <v>79</v>
      </c>
      <c r="F182" s="42" t="s">
        <v>18</v>
      </c>
      <c r="G182" s="84">
        <f>500-200.00459</f>
        <v>299.99541</v>
      </c>
    </row>
    <row r="183" spans="1:7" s="10" customFormat="1" ht="15" customHeight="1">
      <c r="A183" s="45"/>
      <c r="B183" s="41" t="s">
        <v>75</v>
      </c>
      <c r="C183" s="42" t="s">
        <v>57</v>
      </c>
      <c r="D183" s="42" t="s">
        <v>74</v>
      </c>
      <c r="E183" s="43" t="s">
        <v>10</v>
      </c>
      <c r="F183" s="42"/>
      <c r="G183" s="84">
        <f>G186+G184</f>
        <v>12673</v>
      </c>
    </row>
    <row r="184" spans="1:7" s="10" customFormat="1" ht="47.25">
      <c r="A184" s="45"/>
      <c r="B184" s="44" t="s">
        <v>105</v>
      </c>
      <c r="C184" s="42" t="s">
        <v>57</v>
      </c>
      <c r="D184" s="42" t="s">
        <v>74</v>
      </c>
      <c r="E184" s="43" t="s">
        <v>106</v>
      </c>
      <c r="F184" s="42"/>
      <c r="G184" s="84">
        <f>G185</f>
        <v>11673</v>
      </c>
    </row>
    <row r="185" spans="1:7" s="10" customFormat="1" ht="15.75">
      <c r="A185" s="45"/>
      <c r="B185" s="41" t="s">
        <v>19</v>
      </c>
      <c r="C185" s="42" t="s">
        <v>57</v>
      </c>
      <c r="D185" s="42" t="s">
        <v>74</v>
      </c>
      <c r="E185" s="43" t="s">
        <v>106</v>
      </c>
      <c r="F185" s="42" t="s">
        <v>20</v>
      </c>
      <c r="G185" s="84">
        <f>11973-300</f>
        <v>11673</v>
      </c>
    </row>
    <row r="186" spans="1:7" s="11" customFormat="1" ht="47.25">
      <c r="A186" s="45"/>
      <c r="B186" s="44" t="s">
        <v>220</v>
      </c>
      <c r="C186" s="42" t="s">
        <v>57</v>
      </c>
      <c r="D186" s="42" t="s">
        <v>74</v>
      </c>
      <c r="E186" s="43" t="s">
        <v>221</v>
      </c>
      <c r="F186" s="42"/>
      <c r="G186" s="84">
        <f>G187</f>
        <v>1000</v>
      </c>
    </row>
    <row r="187" spans="1:7" s="11" customFormat="1" ht="15" customHeight="1">
      <c r="A187" s="45"/>
      <c r="B187" s="41" t="s">
        <v>19</v>
      </c>
      <c r="C187" s="42" t="s">
        <v>57</v>
      </c>
      <c r="D187" s="42" t="s">
        <v>74</v>
      </c>
      <c r="E187" s="43" t="s">
        <v>221</v>
      </c>
      <c r="F187" s="42" t="s">
        <v>20</v>
      </c>
      <c r="G187" s="84">
        <v>1000</v>
      </c>
    </row>
    <row r="188" spans="1:7" s="18" customFormat="1" ht="15" customHeight="1">
      <c r="A188" s="50"/>
      <c r="B188" s="41" t="s">
        <v>80</v>
      </c>
      <c r="C188" s="42" t="s">
        <v>57</v>
      </c>
      <c r="D188" s="42" t="s">
        <v>81</v>
      </c>
      <c r="E188" s="43"/>
      <c r="F188" s="42"/>
      <c r="G188" s="84">
        <f>G189+G220</f>
        <v>415619.59525</v>
      </c>
    </row>
    <row r="189" spans="1:7" s="18" customFormat="1" ht="31.5">
      <c r="A189" s="50"/>
      <c r="B189" s="41" t="s">
        <v>183</v>
      </c>
      <c r="C189" s="42" t="s">
        <v>57</v>
      </c>
      <c r="D189" s="42" t="s">
        <v>81</v>
      </c>
      <c r="E189" s="43" t="s">
        <v>64</v>
      </c>
      <c r="F189" s="42"/>
      <c r="G189" s="84">
        <f>G190+G208</f>
        <v>281056.71353</v>
      </c>
    </row>
    <row r="190" spans="1:7" s="18" customFormat="1" ht="15.75">
      <c r="A190" s="50"/>
      <c r="B190" s="41" t="s">
        <v>82</v>
      </c>
      <c r="C190" s="42" t="s">
        <v>57</v>
      </c>
      <c r="D190" s="42" t="s">
        <v>81</v>
      </c>
      <c r="E190" s="43" t="s">
        <v>83</v>
      </c>
      <c r="F190" s="42"/>
      <c r="G190" s="84">
        <f>G199+G191+G193+G196</f>
        <v>253171.68268000003</v>
      </c>
    </row>
    <row r="191" spans="1:7" s="18" customFormat="1" ht="94.5">
      <c r="A191" s="50"/>
      <c r="B191" s="49" t="s">
        <v>295</v>
      </c>
      <c r="C191" s="42" t="s">
        <v>57</v>
      </c>
      <c r="D191" s="42" t="s">
        <v>81</v>
      </c>
      <c r="E191" s="43" t="s">
        <v>294</v>
      </c>
      <c r="F191" s="42"/>
      <c r="G191" s="84">
        <f>G192</f>
        <v>929.4026700000084</v>
      </c>
    </row>
    <row r="192" spans="1:7" s="18" customFormat="1" ht="15.75">
      <c r="A192" s="50"/>
      <c r="B192" s="41" t="s">
        <v>337</v>
      </c>
      <c r="C192" s="42" t="s">
        <v>57</v>
      </c>
      <c r="D192" s="42" t="s">
        <v>81</v>
      </c>
      <c r="E192" s="43" t="s">
        <v>294</v>
      </c>
      <c r="F192" s="42" t="s">
        <v>18</v>
      </c>
      <c r="G192" s="84">
        <f>83823.61156-83171.84+66.77873+210.85238</f>
        <v>929.4026700000084</v>
      </c>
    </row>
    <row r="193" spans="1:7" s="18" customFormat="1" ht="47.25">
      <c r="A193" s="50"/>
      <c r="B193" s="49" t="s">
        <v>365</v>
      </c>
      <c r="C193" s="42" t="s">
        <v>57</v>
      </c>
      <c r="D193" s="42" t="s">
        <v>81</v>
      </c>
      <c r="E193" s="43" t="s">
        <v>339</v>
      </c>
      <c r="F193" s="42"/>
      <c r="G193" s="84">
        <f>G194</f>
        <v>89912.69</v>
      </c>
    </row>
    <row r="194" spans="1:7" s="18" customFormat="1" ht="15.75">
      <c r="A194" s="50"/>
      <c r="B194" s="41" t="s">
        <v>337</v>
      </c>
      <c r="C194" s="42" t="s">
        <v>57</v>
      </c>
      <c r="D194" s="42" t="s">
        <v>81</v>
      </c>
      <c r="E194" s="43" t="s">
        <v>339</v>
      </c>
      <c r="F194" s="42" t="s">
        <v>18</v>
      </c>
      <c r="G194" s="84">
        <f>92000-2087.31</f>
        <v>89912.69</v>
      </c>
    </row>
    <row r="195" spans="1:7" s="18" customFormat="1" ht="15.75">
      <c r="A195" s="50"/>
      <c r="B195" s="105" t="s">
        <v>199</v>
      </c>
      <c r="C195" s="42"/>
      <c r="D195" s="42"/>
      <c r="E195" s="43"/>
      <c r="F195" s="42"/>
      <c r="G195" s="156">
        <f>92000-2087.31</f>
        <v>89912.69</v>
      </c>
    </row>
    <row r="196" spans="1:7" s="18" customFormat="1" ht="47.25">
      <c r="A196" s="50"/>
      <c r="B196" s="49" t="s">
        <v>365</v>
      </c>
      <c r="C196" s="42" t="s">
        <v>57</v>
      </c>
      <c r="D196" s="42" t="s">
        <v>81</v>
      </c>
      <c r="E196" s="43" t="s">
        <v>403</v>
      </c>
      <c r="F196" s="42"/>
      <c r="G196" s="84">
        <f>G197</f>
        <v>150000</v>
      </c>
    </row>
    <row r="197" spans="1:7" s="18" customFormat="1" ht="31.5">
      <c r="A197" s="50"/>
      <c r="B197" s="41" t="s">
        <v>58</v>
      </c>
      <c r="C197" s="42" t="s">
        <v>57</v>
      </c>
      <c r="D197" s="42" t="s">
        <v>81</v>
      </c>
      <c r="E197" s="43" t="s">
        <v>403</v>
      </c>
      <c r="F197" s="42" t="s">
        <v>59</v>
      </c>
      <c r="G197" s="84">
        <v>150000</v>
      </c>
    </row>
    <row r="198" spans="1:7" s="18" customFormat="1" ht="15.75">
      <c r="A198" s="50"/>
      <c r="B198" s="105" t="s">
        <v>231</v>
      </c>
      <c r="C198" s="42"/>
      <c r="D198" s="42"/>
      <c r="E198" s="43"/>
      <c r="F198" s="42"/>
      <c r="G198" s="156">
        <v>150000</v>
      </c>
    </row>
    <row r="199" spans="1:7" s="18" customFormat="1" ht="31.5">
      <c r="A199" s="50"/>
      <c r="B199" s="49" t="s">
        <v>291</v>
      </c>
      <c r="C199" s="42" t="s">
        <v>57</v>
      </c>
      <c r="D199" s="42" t="s">
        <v>81</v>
      </c>
      <c r="E199" s="43" t="s">
        <v>270</v>
      </c>
      <c r="F199" s="42"/>
      <c r="G199" s="84">
        <f>G204+G200</f>
        <v>12329.59001</v>
      </c>
    </row>
    <row r="200" spans="1:7" s="18" customFormat="1" ht="15.75">
      <c r="A200" s="50"/>
      <c r="B200" s="41" t="s">
        <v>337</v>
      </c>
      <c r="C200" s="42" t="s">
        <v>57</v>
      </c>
      <c r="D200" s="42" t="s">
        <v>81</v>
      </c>
      <c r="E200" s="43" t="s">
        <v>270</v>
      </c>
      <c r="F200" s="42" t="s">
        <v>18</v>
      </c>
      <c r="G200" s="84">
        <f>G201+G202+G203</f>
        <v>6545.52716</v>
      </c>
    </row>
    <row r="201" spans="1:7" s="18" customFormat="1" ht="15" customHeight="1">
      <c r="A201" s="50"/>
      <c r="B201" s="105" t="s">
        <v>231</v>
      </c>
      <c r="C201" s="42"/>
      <c r="D201" s="42"/>
      <c r="E201" s="43"/>
      <c r="F201" s="42"/>
      <c r="G201" s="156">
        <f>7357.62466+61.50332-1214.83683</f>
        <v>6204.29115</v>
      </c>
    </row>
    <row r="202" spans="1:7" s="18" customFormat="1" ht="15" customHeight="1">
      <c r="A202" s="50"/>
      <c r="B202" s="105" t="s">
        <v>199</v>
      </c>
      <c r="C202" s="42"/>
      <c r="D202" s="42"/>
      <c r="E202" s="43"/>
      <c r="F202" s="42"/>
      <c r="G202" s="156">
        <f>390.10556-22.22434+3.07517-60.74184</f>
        <v>310.21455000000003</v>
      </c>
    </row>
    <row r="203" spans="1:7" s="18" customFormat="1" ht="15" customHeight="1">
      <c r="A203" s="50"/>
      <c r="B203" s="105" t="s">
        <v>198</v>
      </c>
      <c r="C203" s="42"/>
      <c r="D203" s="42"/>
      <c r="E203" s="43"/>
      <c r="F203" s="42"/>
      <c r="G203" s="156">
        <f>39.01056-2.22243+0.30751-6.07418</f>
        <v>31.021459999999998</v>
      </c>
    </row>
    <row r="204" spans="1:7" s="18" customFormat="1" ht="15.75">
      <c r="A204" s="50"/>
      <c r="B204" s="41" t="s">
        <v>19</v>
      </c>
      <c r="C204" s="42" t="s">
        <v>57</v>
      </c>
      <c r="D204" s="42" t="s">
        <v>81</v>
      </c>
      <c r="E204" s="43" t="s">
        <v>270</v>
      </c>
      <c r="F204" s="42" t="s">
        <v>20</v>
      </c>
      <c r="G204" s="84">
        <f>G206+G207+G205</f>
        <v>5784.06285</v>
      </c>
    </row>
    <row r="205" spans="1:7" s="18" customFormat="1" ht="15" customHeight="1">
      <c r="A205" s="50"/>
      <c r="B205" s="105" t="s">
        <v>231</v>
      </c>
      <c r="C205" s="42"/>
      <c r="D205" s="42"/>
      <c r="E205" s="43"/>
      <c r="F205" s="42"/>
      <c r="G205" s="156">
        <f>4329.19052-61.50332+1214.83683</f>
        <v>5482.5240300000005</v>
      </c>
    </row>
    <row r="206" spans="1:7" s="18" customFormat="1" ht="15" customHeight="1">
      <c r="A206" s="50"/>
      <c r="B206" s="105" t="s">
        <v>199</v>
      </c>
      <c r="C206" s="42"/>
      <c r="D206" s="42"/>
      <c r="E206" s="43"/>
      <c r="F206" s="42"/>
      <c r="G206" s="156">
        <f>190.99706+25.46247-3.07517+60.74184</f>
        <v>274.12620000000004</v>
      </c>
    </row>
    <row r="207" spans="1:7" s="18" customFormat="1" ht="15" customHeight="1">
      <c r="A207" s="50"/>
      <c r="B207" s="105" t="s">
        <v>198</v>
      </c>
      <c r="C207" s="42"/>
      <c r="D207" s="42"/>
      <c r="E207" s="43"/>
      <c r="F207" s="42"/>
      <c r="G207" s="156">
        <f>19.0997+2.54625-0.30751+6.07418</f>
        <v>27.412619999999997</v>
      </c>
    </row>
    <row r="208" spans="1:7" s="18" customFormat="1" ht="15.75">
      <c r="A208" s="50"/>
      <c r="B208" s="49" t="s">
        <v>122</v>
      </c>
      <c r="C208" s="42" t="s">
        <v>57</v>
      </c>
      <c r="D208" s="42" t="s">
        <v>81</v>
      </c>
      <c r="E208" s="43" t="s">
        <v>65</v>
      </c>
      <c r="F208" s="96"/>
      <c r="G208" s="84">
        <f>G209+G213+G215</f>
        <v>27885.030849999996</v>
      </c>
    </row>
    <row r="209" spans="1:7" s="18" customFormat="1" ht="78.75">
      <c r="A209" s="50"/>
      <c r="B209" s="49" t="s">
        <v>236</v>
      </c>
      <c r="C209" s="42" t="s">
        <v>57</v>
      </c>
      <c r="D209" s="42" t="s">
        <v>81</v>
      </c>
      <c r="E209" s="43" t="s">
        <v>237</v>
      </c>
      <c r="F209" s="96"/>
      <c r="G209" s="84">
        <f>G210+G212</f>
        <v>10854.785329999999</v>
      </c>
    </row>
    <row r="210" spans="1:8" s="18" customFormat="1" ht="15.75">
      <c r="A210" s="50"/>
      <c r="B210" s="41" t="s">
        <v>337</v>
      </c>
      <c r="C210" s="42" t="s">
        <v>57</v>
      </c>
      <c r="D210" s="42" t="s">
        <v>81</v>
      </c>
      <c r="E210" s="43" t="s">
        <v>237</v>
      </c>
      <c r="F210" s="42" t="s">
        <v>18</v>
      </c>
      <c r="G210" s="84">
        <f>1280+2900+450</f>
        <v>4630</v>
      </c>
      <c r="H210" s="52"/>
    </row>
    <row r="211" spans="1:8" s="18" customFormat="1" ht="31.5">
      <c r="A211" s="50"/>
      <c r="B211" s="89" t="s">
        <v>390</v>
      </c>
      <c r="C211" s="42"/>
      <c r="D211" s="42"/>
      <c r="E211" s="43"/>
      <c r="F211" s="42"/>
      <c r="G211" s="156">
        <v>450</v>
      </c>
      <c r="H211" s="52"/>
    </row>
    <row r="212" spans="1:8" s="18" customFormat="1" ht="31.5">
      <c r="A212" s="50"/>
      <c r="B212" s="41" t="s">
        <v>58</v>
      </c>
      <c r="C212" s="42" t="s">
        <v>57</v>
      </c>
      <c r="D212" s="42" t="s">
        <v>81</v>
      </c>
      <c r="E212" s="43" t="s">
        <v>237</v>
      </c>
      <c r="F212" s="42" t="s">
        <v>59</v>
      </c>
      <c r="G212" s="84">
        <f>5524.78533+700</f>
        <v>6224.78533</v>
      </c>
      <c r="H212" s="52"/>
    </row>
    <row r="213" spans="1:8" s="18" customFormat="1" ht="63">
      <c r="A213" s="50"/>
      <c r="B213" s="49" t="s">
        <v>355</v>
      </c>
      <c r="C213" s="42" t="s">
        <v>57</v>
      </c>
      <c r="D213" s="42" t="s">
        <v>81</v>
      </c>
      <c r="E213" s="43" t="s">
        <v>354</v>
      </c>
      <c r="F213" s="42"/>
      <c r="G213" s="84">
        <f>G214</f>
        <v>3052.10115</v>
      </c>
      <c r="H213" s="52"/>
    </row>
    <row r="214" spans="1:8" s="18" customFormat="1" ht="31.5">
      <c r="A214" s="50"/>
      <c r="B214" s="41" t="s">
        <v>58</v>
      </c>
      <c r="C214" s="42" t="s">
        <v>57</v>
      </c>
      <c r="D214" s="42" t="s">
        <v>81</v>
      </c>
      <c r="E214" s="43" t="s">
        <v>354</v>
      </c>
      <c r="F214" s="42" t="s">
        <v>59</v>
      </c>
      <c r="G214" s="84">
        <f>5500-2447.89885</f>
        <v>3052.10115</v>
      </c>
      <c r="H214" s="52"/>
    </row>
    <row r="215" spans="1:8" s="18" customFormat="1" ht="78.75">
      <c r="A215" s="50"/>
      <c r="B215" s="67" t="s">
        <v>366</v>
      </c>
      <c r="C215" s="42" t="s">
        <v>57</v>
      </c>
      <c r="D215" s="42" t="s">
        <v>81</v>
      </c>
      <c r="E215" s="43" t="s">
        <v>359</v>
      </c>
      <c r="F215" s="42"/>
      <c r="G215" s="84">
        <f>G216+G218</f>
        <v>13978.144369999998</v>
      </c>
      <c r="H215" s="52"/>
    </row>
    <row r="216" spans="1:8" s="18" customFormat="1" ht="15.75">
      <c r="A216" s="50"/>
      <c r="B216" s="41" t="s">
        <v>337</v>
      </c>
      <c r="C216" s="42" t="s">
        <v>57</v>
      </c>
      <c r="D216" s="42" t="s">
        <v>81</v>
      </c>
      <c r="E216" s="43" t="s">
        <v>359</v>
      </c>
      <c r="F216" s="42" t="s">
        <v>18</v>
      </c>
      <c r="G216" s="84">
        <f>5470.852-1422.42152</f>
        <v>4048.43048</v>
      </c>
      <c r="H216" s="52"/>
    </row>
    <row r="217" spans="1:8" s="18" customFormat="1" ht="15.75">
      <c r="A217" s="50"/>
      <c r="B217" s="105" t="s">
        <v>231</v>
      </c>
      <c r="C217" s="42"/>
      <c r="D217" s="42"/>
      <c r="E217" s="43"/>
      <c r="F217" s="42"/>
      <c r="G217" s="156">
        <f>5470.852-1422.42152</f>
        <v>4048.43048</v>
      </c>
      <c r="H217" s="52"/>
    </row>
    <row r="218" spans="1:8" s="18" customFormat="1" ht="31.5">
      <c r="A218" s="50"/>
      <c r="B218" s="41" t="s">
        <v>58</v>
      </c>
      <c r="C218" s="42" t="s">
        <v>57</v>
      </c>
      <c r="D218" s="42" t="s">
        <v>81</v>
      </c>
      <c r="E218" s="43" t="s">
        <v>359</v>
      </c>
      <c r="F218" s="42" t="s">
        <v>59</v>
      </c>
      <c r="G218" s="84">
        <f>12186.478+2000-4256.76411</f>
        <v>9929.713889999999</v>
      </c>
      <c r="H218" s="52"/>
    </row>
    <row r="219" spans="1:8" s="18" customFormat="1" ht="15.75">
      <c r="A219" s="50"/>
      <c r="B219" s="105" t="s">
        <v>231</v>
      </c>
      <c r="C219" s="42"/>
      <c r="D219" s="42"/>
      <c r="E219" s="43"/>
      <c r="F219" s="42"/>
      <c r="G219" s="156">
        <f>12186.478+2000-4256.76411</f>
        <v>9929.713889999999</v>
      </c>
      <c r="H219" s="52"/>
    </row>
    <row r="220" spans="1:7" s="18" customFormat="1" ht="15.75">
      <c r="A220" s="50"/>
      <c r="B220" s="41" t="s">
        <v>9</v>
      </c>
      <c r="C220" s="42" t="s">
        <v>57</v>
      </c>
      <c r="D220" s="42" t="s">
        <v>81</v>
      </c>
      <c r="E220" s="43" t="s">
        <v>10</v>
      </c>
      <c r="F220" s="42"/>
      <c r="G220" s="84">
        <f>G221+G225+G227+G229+G231</f>
        <v>134562.88172</v>
      </c>
    </row>
    <row r="221" spans="1:7" s="18" customFormat="1" ht="31.5">
      <c r="A221" s="50"/>
      <c r="B221" s="41" t="s">
        <v>226</v>
      </c>
      <c r="C221" s="42" t="s">
        <v>57</v>
      </c>
      <c r="D221" s="42" t="s">
        <v>81</v>
      </c>
      <c r="E221" s="43" t="s">
        <v>86</v>
      </c>
      <c r="F221" s="42"/>
      <c r="G221" s="84">
        <f>G222</f>
        <v>16265.29906</v>
      </c>
    </row>
    <row r="222" spans="1:7" s="18" customFormat="1" ht="15.75">
      <c r="A222" s="50"/>
      <c r="B222" s="41" t="s">
        <v>337</v>
      </c>
      <c r="C222" s="42" t="s">
        <v>57</v>
      </c>
      <c r="D222" s="42" t="s">
        <v>81</v>
      </c>
      <c r="E222" s="43" t="s">
        <v>86</v>
      </c>
      <c r="F222" s="42" t="s">
        <v>18</v>
      </c>
      <c r="G222" s="84">
        <f>16265.3-0.00094</f>
        <v>16265.29906</v>
      </c>
    </row>
    <row r="223" spans="1:7" s="18" customFormat="1" ht="15" customHeight="1">
      <c r="A223" s="50"/>
      <c r="B223" s="89" t="s">
        <v>347</v>
      </c>
      <c r="C223" s="97"/>
      <c r="D223" s="97"/>
      <c r="E223" s="98"/>
      <c r="F223" s="97"/>
      <c r="G223" s="156">
        <v>713</v>
      </c>
    </row>
    <row r="224" spans="1:7" s="18" customFormat="1" ht="15" customHeight="1">
      <c r="A224" s="50"/>
      <c r="B224" s="89" t="s">
        <v>264</v>
      </c>
      <c r="C224" s="97"/>
      <c r="D224" s="97"/>
      <c r="E224" s="98"/>
      <c r="F224" s="97"/>
      <c r="G224" s="156">
        <v>2556.401</v>
      </c>
    </row>
    <row r="225" spans="1:7" s="18" customFormat="1" ht="15.75">
      <c r="A225" s="50"/>
      <c r="B225" s="41" t="s">
        <v>87</v>
      </c>
      <c r="C225" s="42" t="s">
        <v>57</v>
      </c>
      <c r="D225" s="42" t="s">
        <v>81</v>
      </c>
      <c r="E225" s="43" t="s">
        <v>88</v>
      </c>
      <c r="F225" s="42"/>
      <c r="G225" s="84">
        <f>G226</f>
        <v>3368</v>
      </c>
    </row>
    <row r="226" spans="1:7" s="18" customFormat="1" ht="15.75">
      <c r="A226" s="50"/>
      <c r="B226" s="41" t="s">
        <v>337</v>
      </c>
      <c r="C226" s="42" t="s">
        <v>57</v>
      </c>
      <c r="D226" s="42" t="s">
        <v>81</v>
      </c>
      <c r="E226" s="43" t="s">
        <v>88</v>
      </c>
      <c r="F226" s="42" t="s">
        <v>18</v>
      </c>
      <c r="G226" s="84">
        <v>3368</v>
      </c>
    </row>
    <row r="227" spans="1:7" s="18" customFormat="1" ht="15" customHeight="1">
      <c r="A227" s="50"/>
      <c r="B227" s="41" t="s">
        <v>89</v>
      </c>
      <c r="C227" s="42" t="s">
        <v>57</v>
      </c>
      <c r="D227" s="42" t="s">
        <v>81</v>
      </c>
      <c r="E227" s="43" t="s">
        <v>90</v>
      </c>
      <c r="F227" s="42"/>
      <c r="G227" s="84">
        <f>G228</f>
        <v>197.60000000000008</v>
      </c>
    </row>
    <row r="228" spans="1:7" s="18" customFormat="1" ht="15" customHeight="1">
      <c r="A228" s="50"/>
      <c r="B228" s="41" t="s">
        <v>337</v>
      </c>
      <c r="C228" s="42" t="s">
        <v>57</v>
      </c>
      <c r="D228" s="42" t="s">
        <v>81</v>
      </c>
      <c r="E228" s="43" t="s">
        <v>90</v>
      </c>
      <c r="F228" s="42" t="s">
        <v>18</v>
      </c>
      <c r="G228" s="84">
        <f>776.958+500-500-500-79.358</f>
        <v>197.60000000000008</v>
      </c>
    </row>
    <row r="229" spans="1:7" s="18" customFormat="1" ht="15" customHeight="1">
      <c r="A229" s="50"/>
      <c r="B229" s="41" t="s">
        <v>91</v>
      </c>
      <c r="C229" s="42" t="s">
        <v>57</v>
      </c>
      <c r="D229" s="42" t="s">
        <v>81</v>
      </c>
      <c r="E229" s="43" t="s">
        <v>92</v>
      </c>
      <c r="F229" s="42"/>
      <c r="G229" s="84">
        <f>G230</f>
        <v>446.06231999999994</v>
      </c>
    </row>
    <row r="230" spans="1:7" s="18" customFormat="1" ht="15" customHeight="1">
      <c r="A230" s="50"/>
      <c r="B230" s="41" t="s">
        <v>337</v>
      </c>
      <c r="C230" s="42" t="s">
        <v>57</v>
      </c>
      <c r="D230" s="42" t="s">
        <v>81</v>
      </c>
      <c r="E230" s="43" t="s">
        <v>92</v>
      </c>
      <c r="F230" s="42" t="s">
        <v>18</v>
      </c>
      <c r="G230" s="84">
        <f>589.2588-143.19648</f>
        <v>446.06231999999994</v>
      </c>
    </row>
    <row r="231" spans="1:7" s="18" customFormat="1" ht="31.5">
      <c r="A231" s="45"/>
      <c r="B231" s="41" t="s">
        <v>84</v>
      </c>
      <c r="C231" s="42" t="s">
        <v>57</v>
      </c>
      <c r="D231" s="42" t="s">
        <v>81</v>
      </c>
      <c r="E231" s="43" t="s">
        <v>85</v>
      </c>
      <c r="F231" s="42"/>
      <c r="G231" s="84">
        <f>G232</f>
        <v>114285.92034000001</v>
      </c>
    </row>
    <row r="232" spans="1:7" s="10" customFormat="1" ht="31.5">
      <c r="A232" s="45"/>
      <c r="B232" s="41" t="s">
        <v>58</v>
      </c>
      <c r="C232" s="42" t="s">
        <v>57</v>
      </c>
      <c r="D232" s="42" t="s">
        <v>81</v>
      </c>
      <c r="E232" s="43" t="s">
        <v>85</v>
      </c>
      <c r="F232" s="42" t="s">
        <v>59</v>
      </c>
      <c r="G232" s="84">
        <f>100000+902.22242+70+5265.84896+500+582+5265.84896+1000+700</f>
        <v>114285.92034000001</v>
      </c>
    </row>
    <row r="233" spans="1:7" s="10" customFormat="1" ht="31.5">
      <c r="A233" s="45"/>
      <c r="B233" s="89" t="s">
        <v>390</v>
      </c>
      <c r="C233" s="42"/>
      <c r="D233" s="42"/>
      <c r="E233" s="43"/>
      <c r="F233" s="42"/>
      <c r="G233" s="156">
        <v>582</v>
      </c>
    </row>
    <row r="234" spans="1:7" s="10" customFormat="1" ht="15" customHeight="1">
      <c r="A234" s="45"/>
      <c r="B234" s="41" t="s">
        <v>93</v>
      </c>
      <c r="C234" s="42" t="s">
        <v>57</v>
      </c>
      <c r="D234" s="42" t="s">
        <v>94</v>
      </c>
      <c r="E234" s="43"/>
      <c r="F234" s="42"/>
      <c r="G234" s="84">
        <f>G235+G246+G243</f>
        <v>64589.94532999999</v>
      </c>
    </row>
    <row r="235" spans="1:10" s="16" customFormat="1" ht="31.5">
      <c r="A235" s="45"/>
      <c r="B235" s="41" t="s">
        <v>225</v>
      </c>
      <c r="C235" s="42" t="s">
        <v>57</v>
      </c>
      <c r="D235" s="42" t="s">
        <v>94</v>
      </c>
      <c r="E235" s="43" t="s">
        <v>76</v>
      </c>
      <c r="F235" s="42"/>
      <c r="G235" s="84">
        <f>G236</f>
        <v>21063.510209999997</v>
      </c>
      <c r="H235" s="11"/>
      <c r="I235" s="11"/>
      <c r="J235" s="11"/>
    </row>
    <row r="236" spans="1:10" s="16" customFormat="1" ht="31.5" customHeight="1">
      <c r="A236" s="45"/>
      <c r="B236" s="41" t="s">
        <v>211</v>
      </c>
      <c r="C236" s="42" t="s">
        <v>57</v>
      </c>
      <c r="D236" s="42" t="s">
        <v>94</v>
      </c>
      <c r="E236" s="43" t="s">
        <v>77</v>
      </c>
      <c r="F236" s="42"/>
      <c r="G236" s="84">
        <f>G237+G239+G241</f>
        <v>21063.510209999997</v>
      </c>
      <c r="H236" s="11"/>
      <c r="I236" s="11"/>
      <c r="J236" s="11"/>
    </row>
    <row r="237" spans="1:10" s="16" customFormat="1" ht="47.25">
      <c r="A237" s="45"/>
      <c r="B237" s="53" t="s">
        <v>217</v>
      </c>
      <c r="C237" s="42" t="s">
        <v>57</v>
      </c>
      <c r="D237" s="42" t="s">
        <v>94</v>
      </c>
      <c r="E237" s="43" t="s">
        <v>216</v>
      </c>
      <c r="F237" s="42"/>
      <c r="G237" s="84">
        <f>G238</f>
        <v>20392.420879999998</v>
      </c>
      <c r="H237" s="11"/>
      <c r="I237" s="11"/>
      <c r="J237" s="11"/>
    </row>
    <row r="238" spans="1:10" s="16" customFormat="1" ht="15.75">
      <c r="A238" s="45"/>
      <c r="B238" s="41" t="s">
        <v>337</v>
      </c>
      <c r="C238" s="42" t="s">
        <v>57</v>
      </c>
      <c r="D238" s="42" t="s">
        <v>94</v>
      </c>
      <c r="E238" s="43" t="s">
        <v>216</v>
      </c>
      <c r="F238" s="42" t="s">
        <v>18</v>
      </c>
      <c r="G238" s="84">
        <f>20903.73-511.30912</f>
        <v>20392.420879999998</v>
      </c>
      <c r="H238" s="11"/>
      <c r="I238" s="11"/>
      <c r="J238" s="11"/>
    </row>
    <row r="239" spans="1:10" s="16" customFormat="1" ht="63">
      <c r="A239" s="45"/>
      <c r="B239" s="53" t="s">
        <v>95</v>
      </c>
      <c r="C239" s="42" t="s">
        <v>57</v>
      </c>
      <c r="D239" s="42" t="s">
        <v>94</v>
      </c>
      <c r="E239" s="43" t="s">
        <v>276</v>
      </c>
      <c r="F239" s="42"/>
      <c r="G239" s="84">
        <f>G240</f>
        <v>626.60673</v>
      </c>
      <c r="H239" s="11"/>
      <c r="I239" s="11"/>
      <c r="J239" s="11"/>
    </row>
    <row r="240" spans="1:10" s="16" customFormat="1" ht="15.75">
      <c r="A240" s="45"/>
      <c r="B240" s="41" t="s">
        <v>337</v>
      </c>
      <c r="C240" s="42" t="s">
        <v>57</v>
      </c>
      <c r="D240" s="42" t="s">
        <v>94</v>
      </c>
      <c r="E240" s="43" t="s">
        <v>276</v>
      </c>
      <c r="F240" s="42" t="s">
        <v>18</v>
      </c>
      <c r="G240" s="84">
        <f>426.60673+100+100</f>
        <v>626.60673</v>
      </c>
      <c r="H240" s="11"/>
      <c r="I240" s="11"/>
      <c r="J240" s="11"/>
    </row>
    <row r="241" spans="1:10" s="16" customFormat="1" ht="126">
      <c r="A241" s="45"/>
      <c r="B241" s="53" t="s">
        <v>293</v>
      </c>
      <c r="C241" s="42" t="s">
        <v>57</v>
      </c>
      <c r="D241" s="42" t="s">
        <v>94</v>
      </c>
      <c r="E241" s="43" t="s">
        <v>218</v>
      </c>
      <c r="F241" s="42"/>
      <c r="G241" s="84">
        <f>G242</f>
        <v>44.48259999999999</v>
      </c>
      <c r="H241" s="11"/>
      <c r="I241" s="11"/>
      <c r="J241" s="11"/>
    </row>
    <row r="242" spans="1:10" s="16" customFormat="1" ht="15.75" customHeight="1">
      <c r="A242" s="45"/>
      <c r="B242" s="41" t="s">
        <v>337</v>
      </c>
      <c r="C242" s="42" t="s">
        <v>57</v>
      </c>
      <c r="D242" s="42" t="s">
        <v>94</v>
      </c>
      <c r="E242" s="43" t="s">
        <v>218</v>
      </c>
      <c r="F242" s="42" t="s">
        <v>18</v>
      </c>
      <c r="G242" s="84">
        <f>220-175.5174</f>
        <v>44.48259999999999</v>
      </c>
      <c r="H242" s="11"/>
      <c r="I242" s="11"/>
      <c r="J242" s="11"/>
    </row>
    <row r="243" spans="1:10" s="16" customFormat="1" ht="31.5">
      <c r="A243" s="45"/>
      <c r="B243" s="41" t="s">
        <v>332</v>
      </c>
      <c r="C243" s="42" t="s">
        <v>57</v>
      </c>
      <c r="D243" s="42" t="s">
        <v>94</v>
      </c>
      <c r="E243" s="43" t="s">
        <v>333</v>
      </c>
      <c r="F243" s="42"/>
      <c r="G243" s="84">
        <f>G244</f>
        <v>6.199999999999999</v>
      </c>
      <c r="H243" s="11"/>
      <c r="I243" s="11"/>
      <c r="J243" s="11"/>
    </row>
    <row r="244" spans="1:10" s="16" customFormat="1" ht="63">
      <c r="A244" s="45"/>
      <c r="B244" s="49" t="s">
        <v>343</v>
      </c>
      <c r="C244" s="42" t="s">
        <v>57</v>
      </c>
      <c r="D244" s="42" t="s">
        <v>94</v>
      </c>
      <c r="E244" s="43" t="s">
        <v>334</v>
      </c>
      <c r="F244" s="42"/>
      <c r="G244" s="84">
        <f>G245</f>
        <v>6.199999999999999</v>
      </c>
      <c r="H244" s="11"/>
      <c r="I244" s="11"/>
      <c r="J244" s="11"/>
    </row>
    <row r="245" spans="1:10" s="16" customFormat="1" ht="15.75">
      <c r="A245" s="45"/>
      <c r="B245" s="41" t="s">
        <v>337</v>
      </c>
      <c r="C245" s="42" t="s">
        <v>57</v>
      </c>
      <c r="D245" s="42" t="s">
        <v>94</v>
      </c>
      <c r="E245" s="43" t="s">
        <v>334</v>
      </c>
      <c r="F245" s="42" t="s">
        <v>18</v>
      </c>
      <c r="G245" s="84">
        <f>35-28.8</f>
        <v>6.199999999999999</v>
      </c>
      <c r="H245" s="11"/>
      <c r="I245" s="11"/>
      <c r="J245" s="11"/>
    </row>
    <row r="246" spans="1:7" s="10" customFormat="1" ht="15.75">
      <c r="A246" s="45"/>
      <c r="B246" s="41" t="s">
        <v>9</v>
      </c>
      <c r="C246" s="42" t="s">
        <v>57</v>
      </c>
      <c r="D246" s="42" t="s">
        <v>94</v>
      </c>
      <c r="E246" s="43" t="s">
        <v>10</v>
      </c>
      <c r="F246" s="42"/>
      <c r="G246" s="84">
        <f>G247+G252+G255</f>
        <v>43520.23512</v>
      </c>
    </row>
    <row r="247" spans="1:7" s="15" customFormat="1" ht="47.25">
      <c r="A247" s="50"/>
      <c r="B247" s="49" t="s">
        <v>16</v>
      </c>
      <c r="C247" s="42" t="s">
        <v>57</v>
      </c>
      <c r="D247" s="42" t="s">
        <v>94</v>
      </c>
      <c r="E247" s="43" t="s">
        <v>17</v>
      </c>
      <c r="F247" s="42" t="s">
        <v>15</v>
      </c>
      <c r="G247" s="84">
        <f>G248+G250+G251</f>
        <v>30402.378139999997</v>
      </c>
    </row>
    <row r="248" spans="1:7" s="15" customFormat="1" ht="47.25">
      <c r="A248" s="50"/>
      <c r="B248" s="41" t="s">
        <v>11</v>
      </c>
      <c r="C248" s="42" t="s">
        <v>57</v>
      </c>
      <c r="D248" s="42" t="s">
        <v>94</v>
      </c>
      <c r="E248" s="43" t="s">
        <v>17</v>
      </c>
      <c r="F248" s="42" t="s">
        <v>12</v>
      </c>
      <c r="G248" s="84">
        <f>16985.99994+1210.978+5119.32023-0.32382+567.47686+443.17801+3000+1317.05069+397.74931-450</f>
        <v>28591.429219999998</v>
      </c>
    </row>
    <row r="249" spans="1:7" s="15" customFormat="1" ht="15.75">
      <c r="A249" s="50"/>
      <c r="B249" s="89" t="s">
        <v>264</v>
      </c>
      <c r="C249" s="97"/>
      <c r="D249" s="97"/>
      <c r="E249" s="98"/>
      <c r="F249" s="97"/>
      <c r="G249" s="156">
        <f>3000+1317.05069+397.74931</f>
        <v>4714.8</v>
      </c>
    </row>
    <row r="250" spans="1:7" s="15" customFormat="1" ht="15.75">
      <c r="A250" s="50"/>
      <c r="B250" s="41" t="s">
        <v>337</v>
      </c>
      <c r="C250" s="42" t="s">
        <v>57</v>
      </c>
      <c r="D250" s="42" t="s">
        <v>94</v>
      </c>
      <c r="E250" s="43" t="s">
        <v>17</v>
      </c>
      <c r="F250" s="42" t="s">
        <v>18</v>
      </c>
      <c r="G250" s="84">
        <f>969.93-66.77873+90.85-200</f>
        <v>794.00127</v>
      </c>
    </row>
    <row r="251" spans="1:7" s="11" customFormat="1" ht="15.75">
      <c r="A251" s="45"/>
      <c r="B251" s="41" t="s">
        <v>19</v>
      </c>
      <c r="C251" s="42" t="s">
        <v>57</v>
      </c>
      <c r="D251" s="42" t="s">
        <v>94</v>
      </c>
      <c r="E251" s="43" t="s">
        <v>17</v>
      </c>
      <c r="F251" s="42" t="s">
        <v>20</v>
      </c>
      <c r="G251" s="84">
        <f>1006.94765+5+5-5+5</f>
        <v>1016.94765</v>
      </c>
    </row>
    <row r="252" spans="1:7" s="11" customFormat="1" ht="47.25">
      <c r="A252" s="45"/>
      <c r="B252" s="56" t="s">
        <v>97</v>
      </c>
      <c r="C252" s="42" t="s">
        <v>57</v>
      </c>
      <c r="D252" s="42" t="s">
        <v>94</v>
      </c>
      <c r="E252" s="43" t="s">
        <v>98</v>
      </c>
      <c r="F252" s="42"/>
      <c r="G252" s="84">
        <f>G253+G254</f>
        <v>4301.413859999998</v>
      </c>
    </row>
    <row r="253" spans="1:7" s="11" customFormat="1" ht="47.25">
      <c r="A253" s="45"/>
      <c r="B253" s="41" t="s">
        <v>11</v>
      </c>
      <c r="C253" s="42" t="s">
        <v>57</v>
      </c>
      <c r="D253" s="42" t="s">
        <v>94</v>
      </c>
      <c r="E253" s="43" t="s">
        <v>98</v>
      </c>
      <c r="F253" s="42" t="s">
        <v>12</v>
      </c>
      <c r="G253" s="84">
        <f>7866.0296+593.56+2375.54094-4523.71985-565.16-1685.34983</f>
        <v>4060.900859999998</v>
      </c>
    </row>
    <row r="254" spans="1:7" s="11" customFormat="1" ht="15.75">
      <c r="A254" s="45"/>
      <c r="B254" s="41" t="s">
        <v>337</v>
      </c>
      <c r="C254" s="42" t="s">
        <v>57</v>
      </c>
      <c r="D254" s="42" t="s">
        <v>94</v>
      </c>
      <c r="E254" s="43" t="s">
        <v>98</v>
      </c>
      <c r="F254" s="42" t="s">
        <v>18</v>
      </c>
      <c r="G254" s="84">
        <f>648.4-407.887</f>
        <v>240.51299999999998</v>
      </c>
    </row>
    <row r="255" spans="1:7" s="11" customFormat="1" ht="47.25">
      <c r="A255" s="45"/>
      <c r="B255" s="66" t="s">
        <v>382</v>
      </c>
      <c r="C255" s="63" t="s">
        <v>57</v>
      </c>
      <c r="D255" s="63" t="s">
        <v>94</v>
      </c>
      <c r="E255" s="64" t="s">
        <v>381</v>
      </c>
      <c r="F255" s="63"/>
      <c r="G255" s="160">
        <f>G256</f>
        <v>8816.44312</v>
      </c>
    </row>
    <row r="256" spans="1:7" s="11" customFormat="1" ht="31.5">
      <c r="A256" s="45"/>
      <c r="B256" s="62" t="s">
        <v>58</v>
      </c>
      <c r="C256" s="63" t="s">
        <v>57</v>
      </c>
      <c r="D256" s="63" t="s">
        <v>94</v>
      </c>
      <c r="E256" s="64" t="s">
        <v>381</v>
      </c>
      <c r="F256" s="63" t="s">
        <v>59</v>
      </c>
      <c r="G256" s="160">
        <f>7187.11668+1128.05644+501.27</f>
        <v>8816.44312</v>
      </c>
    </row>
    <row r="257" spans="1:7" s="11" customFormat="1" ht="15.75">
      <c r="A257" s="45"/>
      <c r="B257" s="41" t="s">
        <v>258</v>
      </c>
      <c r="C257" s="42" t="s">
        <v>57</v>
      </c>
      <c r="D257" s="42" t="s">
        <v>173</v>
      </c>
      <c r="E257" s="43"/>
      <c r="F257" s="42"/>
      <c r="G257" s="84">
        <f>G258</f>
        <v>6325.1892</v>
      </c>
    </row>
    <row r="258" spans="1:7" s="11" customFormat="1" ht="15.75">
      <c r="A258" s="45"/>
      <c r="B258" s="41" t="s">
        <v>253</v>
      </c>
      <c r="C258" s="42" t="s">
        <v>57</v>
      </c>
      <c r="D258" s="42" t="s">
        <v>250</v>
      </c>
      <c r="E258" s="43"/>
      <c r="F258" s="42"/>
      <c r="G258" s="84">
        <f>G259</f>
        <v>6325.1892</v>
      </c>
    </row>
    <row r="259" spans="1:7" s="11" customFormat="1" ht="38.25" customHeight="1">
      <c r="A259" s="45"/>
      <c r="B259" s="41" t="s">
        <v>254</v>
      </c>
      <c r="C259" s="42" t="s">
        <v>57</v>
      </c>
      <c r="D259" s="42" t="s">
        <v>250</v>
      </c>
      <c r="E259" s="43" t="s">
        <v>251</v>
      </c>
      <c r="F259" s="42"/>
      <c r="G259" s="84">
        <f>G271+G260</f>
        <v>6325.1892</v>
      </c>
    </row>
    <row r="260" spans="1:7" s="11" customFormat="1" ht="31.5">
      <c r="A260" s="45"/>
      <c r="B260" s="41" t="s">
        <v>282</v>
      </c>
      <c r="C260" s="42" t="s">
        <v>57</v>
      </c>
      <c r="D260" s="42" t="s">
        <v>250</v>
      </c>
      <c r="E260" s="43" t="s">
        <v>283</v>
      </c>
      <c r="F260" s="42"/>
      <c r="G260" s="84">
        <f>G261+G265+G269+G263+G267</f>
        <v>3458.1402</v>
      </c>
    </row>
    <row r="261" spans="1:7" s="11" customFormat="1" ht="94.5">
      <c r="A261" s="45"/>
      <c r="B261" s="49" t="s">
        <v>284</v>
      </c>
      <c r="C261" s="42" t="s">
        <v>57</v>
      </c>
      <c r="D261" s="42" t="s">
        <v>250</v>
      </c>
      <c r="E261" s="43" t="s">
        <v>285</v>
      </c>
      <c r="F261" s="42"/>
      <c r="G261" s="84">
        <f>G262</f>
        <v>499.9842</v>
      </c>
    </row>
    <row r="262" spans="1:7" s="11" customFormat="1" ht="31.5">
      <c r="A262" s="45"/>
      <c r="B262" s="41" t="s">
        <v>58</v>
      </c>
      <c r="C262" s="42" t="s">
        <v>57</v>
      </c>
      <c r="D262" s="42" t="s">
        <v>250</v>
      </c>
      <c r="E262" s="43" t="s">
        <v>285</v>
      </c>
      <c r="F262" s="42" t="s">
        <v>59</v>
      </c>
      <c r="G262" s="84">
        <f>500-0.0158</f>
        <v>499.9842</v>
      </c>
    </row>
    <row r="263" spans="1:7" s="11" customFormat="1" ht="63">
      <c r="A263" s="45"/>
      <c r="B263" s="49" t="s">
        <v>300</v>
      </c>
      <c r="C263" s="42" t="s">
        <v>57</v>
      </c>
      <c r="D263" s="42" t="s">
        <v>250</v>
      </c>
      <c r="E263" s="43" t="s">
        <v>301</v>
      </c>
      <c r="F263" s="42"/>
      <c r="G263" s="84">
        <f>G264</f>
        <v>333.332</v>
      </c>
    </row>
    <row r="264" spans="1:7" s="11" customFormat="1" ht="31.5">
      <c r="A264" s="45"/>
      <c r="B264" s="41" t="s">
        <v>58</v>
      </c>
      <c r="C264" s="42" t="s">
        <v>57</v>
      </c>
      <c r="D264" s="42" t="s">
        <v>250</v>
      </c>
      <c r="E264" s="43" t="s">
        <v>301</v>
      </c>
      <c r="F264" s="42" t="s">
        <v>59</v>
      </c>
      <c r="G264" s="84">
        <v>333.332</v>
      </c>
    </row>
    <row r="265" spans="1:7" s="11" customFormat="1" ht="78.75">
      <c r="A265" s="45"/>
      <c r="B265" s="49" t="s">
        <v>303</v>
      </c>
      <c r="C265" s="42" t="s">
        <v>57</v>
      </c>
      <c r="D265" s="42" t="s">
        <v>250</v>
      </c>
      <c r="E265" s="43" t="s">
        <v>302</v>
      </c>
      <c r="F265" s="42"/>
      <c r="G265" s="84">
        <f>G266</f>
        <v>600</v>
      </c>
    </row>
    <row r="266" spans="1:7" s="11" customFormat="1" ht="31.5">
      <c r="A266" s="45"/>
      <c r="B266" s="41" t="s">
        <v>58</v>
      </c>
      <c r="C266" s="42" t="s">
        <v>57</v>
      </c>
      <c r="D266" s="42" t="s">
        <v>250</v>
      </c>
      <c r="E266" s="43" t="s">
        <v>302</v>
      </c>
      <c r="F266" s="42" t="s">
        <v>59</v>
      </c>
      <c r="G266" s="84">
        <v>600</v>
      </c>
    </row>
    <row r="267" spans="1:7" s="11" customFormat="1" ht="47.25">
      <c r="A267" s="45"/>
      <c r="B267" s="49" t="s">
        <v>305</v>
      </c>
      <c r="C267" s="42" t="s">
        <v>57</v>
      </c>
      <c r="D267" s="42" t="s">
        <v>250</v>
      </c>
      <c r="E267" s="43" t="s">
        <v>307</v>
      </c>
      <c r="F267" s="42"/>
      <c r="G267" s="84">
        <f>G268</f>
        <v>434.824</v>
      </c>
    </row>
    <row r="268" spans="1:7" s="11" customFormat="1" ht="31.5">
      <c r="A268" s="45"/>
      <c r="B268" s="41" t="s">
        <v>58</v>
      </c>
      <c r="C268" s="42" t="s">
        <v>57</v>
      </c>
      <c r="D268" s="42" t="s">
        <v>250</v>
      </c>
      <c r="E268" s="43" t="s">
        <v>307</v>
      </c>
      <c r="F268" s="42" t="s">
        <v>59</v>
      </c>
      <c r="G268" s="84">
        <v>434.824</v>
      </c>
    </row>
    <row r="269" spans="1:7" s="11" customFormat="1" ht="63">
      <c r="A269" s="45"/>
      <c r="B269" s="49" t="s">
        <v>304</v>
      </c>
      <c r="C269" s="42" t="s">
        <v>57</v>
      </c>
      <c r="D269" s="42" t="s">
        <v>250</v>
      </c>
      <c r="E269" s="43" t="s">
        <v>306</v>
      </c>
      <c r="F269" s="42"/>
      <c r="G269" s="84">
        <f>G270</f>
        <v>1590</v>
      </c>
    </row>
    <row r="270" spans="1:7" s="11" customFormat="1" ht="31.5">
      <c r="A270" s="45"/>
      <c r="B270" s="41" t="s">
        <v>58</v>
      </c>
      <c r="C270" s="42" t="s">
        <v>57</v>
      </c>
      <c r="D270" s="42" t="s">
        <v>250</v>
      </c>
      <c r="E270" s="43" t="s">
        <v>306</v>
      </c>
      <c r="F270" s="42" t="s">
        <v>59</v>
      </c>
      <c r="G270" s="84">
        <f>1500+90</f>
        <v>1590</v>
      </c>
    </row>
    <row r="271" spans="1:7" s="11" customFormat="1" ht="31.5">
      <c r="A271" s="45"/>
      <c r="B271" s="41" t="s">
        <v>255</v>
      </c>
      <c r="C271" s="42" t="s">
        <v>244</v>
      </c>
      <c r="D271" s="42" t="s">
        <v>250</v>
      </c>
      <c r="E271" s="43" t="s">
        <v>252</v>
      </c>
      <c r="F271" s="42"/>
      <c r="G271" s="84">
        <f>G274+G272</f>
        <v>2867.049</v>
      </c>
    </row>
    <row r="272" spans="1:7" s="11" customFormat="1" ht="47.25">
      <c r="A272" s="45"/>
      <c r="B272" s="49" t="s">
        <v>308</v>
      </c>
      <c r="C272" s="42" t="s">
        <v>57</v>
      </c>
      <c r="D272" s="42" t="s">
        <v>250</v>
      </c>
      <c r="E272" s="43" t="s">
        <v>310</v>
      </c>
      <c r="F272" s="42"/>
      <c r="G272" s="84">
        <f>G273</f>
        <v>1367.049</v>
      </c>
    </row>
    <row r="273" spans="1:7" s="11" customFormat="1" ht="15.75">
      <c r="A273" s="45"/>
      <c r="B273" s="41" t="s">
        <v>337</v>
      </c>
      <c r="C273" s="42" t="s">
        <v>57</v>
      </c>
      <c r="D273" s="42" t="s">
        <v>250</v>
      </c>
      <c r="E273" s="43" t="s">
        <v>310</v>
      </c>
      <c r="F273" s="42" t="s">
        <v>18</v>
      </c>
      <c r="G273" s="84">
        <v>1367.049</v>
      </c>
    </row>
    <row r="274" spans="1:7" s="11" customFormat="1" ht="63">
      <c r="A274" s="45"/>
      <c r="B274" s="49" t="s">
        <v>309</v>
      </c>
      <c r="C274" s="42" t="s">
        <v>57</v>
      </c>
      <c r="D274" s="42" t="s">
        <v>250</v>
      </c>
      <c r="E274" s="43" t="s">
        <v>311</v>
      </c>
      <c r="F274" s="42"/>
      <c r="G274" s="84">
        <f>G275</f>
        <v>1500</v>
      </c>
    </row>
    <row r="275" spans="1:7" s="11" customFormat="1" ht="15.75">
      <c r="A275" s="45"/>
      <c r="B275" s="41" t="s">
        <v>337</v>
      </c>
      <c r="C275" s="42" t="s">
        <v>57</v>
      </c>
      <c r="D275" s="42" t="s">
        <v>250</v>
      </c>
      <c r="E275" s="43" t="s">
        <v>311</v>
      </c>
      <c r="F275" s="42" t="s">
        <v>18</v>
      </c>
      <c r="G275" s="84">
        <v>1500</v>
      </c>
    </row>
    <row r="276" spans="1:7" s="10" customFormat="1" ht="15" customHeight="1">
      <c r="A276" s="45"/>
      <c r="B276" s="41" t="s">
        <v>43</v>
      </c>
      <c r="C276" s="42" t="s">
        <v>57</v>
      </c>
      <c r="D276" s="42" t="s">
        <v>44</v>
      </c>
      <c r="E276" s="43"/>
      <c r="F276" s="42"/>
      <c r="G276" s="84">
        <f>G277</f>
        <v>32112.3</v>
      </c>
    </row>
    <row r="277" spans="1:7" s="10" customFormat="1" ht="15" customHeight="1">
      <c r="A277" s="45"/>
      <c r="B277" s="41" t="s">
        <v>45</v>
      </c>
      <c r="C277" s="42" t="s">
        <v>57</v>
      </c>
      <c r="D277" s="42" t="s">
        <v>46</v>
      </c>
      <c r="E277" s="43"/>
      <c r="F277" s="42"/>
      <c r="G277" s="84">
        <f>G278</f>
        <v>32112.3</v>
      </c>
    </row>
    <row r="278" spans="1:7" s="10" customFormat="1" ht="15" customHeight="1">
      <c r="A278" s="45"/>
      <c r="B278" s="41" t="s">
        <v>9</v>
      </c>
      <c r="C278" s="42" t="s">
        <v>57</v>
      </c>
      <c r="D278" s="42" t="s">
        <v>46</v>
      </c>
      <c r="E278" s="43" t="s">
        <v>10</v>
      </c>
      <c r="F278" s="42"/>
      <c r="G278" s="84">
        <f>G283+G287+G279+G281</f>
        <v>32112.3</v>
      </c>
    </row>
    <row r="279" spans="1:7" s="10" customFormat="1" ht="30.75" customHeight="1">
      <c r="A279" s="45"/>
      <c r="B279" s="44" t="s">
        <v>321</v>
      </c>
      <c r="C279" s="42" t="s">
        <v>57</v>
      </c>
      <c r="D279" s="42" t="s">
        <v>46</v>
      </c>
      <c r="E279" s="43" t="s">
        <v>96</v>
      </c>
      <c r="F279" s="42"/>
      <c r="G279" s="84">
        <f>G280</f>
        <v>500</v>
      </c>
    </row>
    <row r="280" spans="1:7" s="10" customFormat="1" ht="15" customHeight="1">
      <c r="A280" s="45"/>
      <c r="B280" s="44" t="s">
        <v>48</v>
      </c>
      <c r="C280" s="42" t="s">
        <v>57</v>
      </c>
      <c r="D280" s="42" t="s">
        <v>46</v>
      </c>
      <c r="E280" s="43" t="s">
        <v>96</v>
      </c>
      <c r="F280" s="42" t="s">
        <v>49</v>
      </c>
      <c r="G280" s="84">
        <v>500</v>
      </c>
    </row>
    <row r="281" spans="1:7" s="10" customFormat="1" ht="47.25">
      <c r="A281" s="45"/>
      <c r="B281" s="44" t="s">
        <v>351</v>
      </c>
      <c r="C281" s="42" t="s">
        <v>57</v>
      </c>
      <c r="D281" s="42" t="s">
        <v>46</v>
      </c>
      <c r="E281" s="43" t="s">
        <v>350</v>
      </c>
      <c r="F281" s="42"/>
      <c r="G281" s="84">
        <f>G282</f>
        <v>732</v>
      </c>
    </row>
    <row r="282" spans="1:7" s="10" customFormat="1" ht="15" customHeight="1">
      <c r="A282" s="45"/>
      <c r="B282" s="44" t="s">
        <v>48</v>
      </c>
      <c r="C282" s="42" t="s">
        <v>57</v>
      </c>
      <c r="D282" s="42" t="s">
        <v>46</v>
      </c>
      <c r="E282" s="43" t="s">
        <v>350</v>
      </c>
      <c r="F282" s="42" t="s">
        <v>49</v>
      </c>
      <c r="G282" s="84">
        <f>1232-500</f>
        <v>732</v>
      </c>
    </row>
    <row r="283" spans="1:7" s="10" customFormat="1" ht="63">
      <c r="A283" s="45"/>
      <c r="B283" s="49" t="s">
        <v>257</v>
      </c>
      <c r="C283" s="42" t="s">
        <v>57</v>
      </c>
      <c r="D283" s="42" t="s">
        <v>46</v>
      </c>
      <c r="E283" s="43" t="s">
        <v>256</v>
      </c>
      <c r="F283" s="42"/>
      <c r="G283" s="84">
        <f>G286+G284+G285</f>
        <v>19437.3</v>
      </c>
    </row>
    <row r="284" spans="1:7" s="10" customFormat="1" ht="47.25">
      <c r="A284" s="45"/>
      <c r="B284" s="41" t="s">
        <v>11</v>
      </c>
      <c r="C284" s="42" t="s">
        <v>57</v>
      </c>
      <c r="D284" s="42" t="s">
        <v>46</v>
      </c>
      <c r="E284" s="43" t="s">
        <v>256</v>
      </c>
      <c r="F284" s="42" t="s">
        <v>12</v>
      </c>
      <c r="G284" s="84">
        <f>304.14747+91.85253-207.74097-62.73778</f>
        <v>125.52125</v>
      </c>
    </row>
    <row r="285" spans="1:7" s="10" customFormat="1" ht="15.75">
      <c r="A285" s="45"/>
      <c r="B285" s="41" t="s">
        <v>337</v>
      </c>
      <c r="C285" s="42" t="s">
        <v>57</v>
      </c>
      <c r="D285" s="42" t="s">
        <v>46</v>
      </c>
      <c r="E285" s="43" t="s">
        <v>256</v>
      </c>
      <c r="F285" s="42" t="s">
        <v>18</v>
      </c>
      <c r="G285" s="84">
        <v>244.95798</v>
      </c>
    </row>
    <row r="286" spans="1:7" s="10" customFormat="1" ht="15.75">
      <c r="A286" s="45"/>
      <c r="B286" s="41" t="s">
        <v>19</v>
      </c>
      <c r="C286" s="42" t="s">
        <v>57</v>
      </c>
      <c r="D286" s="42" t="s">
        <v>46</v>
      </c>
      <c r="E286" s="43" t="s">
        <v>256</v>
      </c>
      <c r="F286" s="42" t="s">
        <v>20</v>
      </c>
      <c r="G286" s="84">
        <f>19041.3-11112.02805+11137.54882</f>
        <v>19066.82077</v>
      </c>
    </row>
    <row r="287" spans="1:7" s="10" customFormat="1" ht="31.5">
      <c r="A287" s="45"/>
      <c r="B287" s="41" t="s">
        <v>246</v>
      </c>
      <c r="C287" s="42" t="s">
        <v>57</v>
      </c>
      <c r="D287" s="42" t="s">
        <v>46</v>
      </c>
      <c r="E287" s="43" t="s">
        <v>245</v>
      </c>
      <c r="F287" s="42"/>
      <c r="G287" s="84">
        <f>G288+G289</f>
        <v>11443</v>
      </c>
    </row>
    <row r="288" spans="1:7" s="10" customFormat="1" ht="15.75">
      <c r="A288" s="45"/>
      <c r="B288" s="41" t="s">
        <v>337</v>
      </c>
      <c r="C288" s="42" t="s">
        <v>57</v>
      </c>
      <c r="D288" s="42" t="s">
        <v>46</v>
      </c>
      <c r="E288" s="43" t="s">
        <v>245</v>
      </c>
      <c r="F288" s="42" t="s">
        <v>18</v>
      </c>
      <c r="G288" s="84">
        <v>200</v>
      </c>
    </row>
    <row r="289" spans="1:7" s="10" customFormat="1" ht="15.75">
      <c r="A289" s="45"/>
      <c r="B289" s="44" t="s">
        <v>48</v>
      </c>
      <c r="C289" s="42" t="s">
        <v>57</v>
      </c>
      <c r="D289" s="42" t="s">
        <v>46</v>
      </c>
      <c r="E289" s="43" t="s">
        <v>245</v>
      </c>
      <c r="F289" s="42" t="s">
        <v>49</v>
      </c>
      <c r="G289" s="84">
        <f>12193-950</f>
        <v>11243</v>
      </c>
    </row>
    <row r="290" spans="1:7" s="12" customFormat="1" ht="15" customHeight="1">
      <c r="A290" s="36">
        <v>6</v>
      </c>
      <c r="B290" s="91" t="s">
        <v>107</v>
      </c>
      <c r="C290" s="57" t="s">
        <v>108</v>
      </c>
      <c r="D290" s="57"/>
      <c r="E290" s="38"/>
      <c r="F290" s="57"/>
      <c r="G290" s="39">
        <f>G291+G314</f>
        <v>1031588.7071700001</v>
      </c>
    </row>
    <row r="291" spans="1:7" s="10" customFormat="1" ht="15" customHeight="1">
      <c r="A291" s="45"/>
      <c r="B291" s="41" t="s">
        <v>7</v>
      </c>
      <c r="C291" s="42" t="s">
        <v>108</v>
      </c>
      <c r="D291" s="42" t="s">
        <v>8</v>
      </c>
      <c r="E291" s="43"/>
      <c r="F291" s="42"/>
      <c r="G291" s="84">
        <f>G292+G304</f>
        <v>25710.00471</v>
      </c>
    </row>
    <row r="292" spans="1:7" s="10" customFormat="1" ht="31.5">
      <c r="A292" s="45"/>
      <c r="B292" s="41" t="s">
        <v>31</v>
      </c>
      <c r="C292" s="42" t="s">
        <v>108</v>
      </c>
      <c r="D292" s="42" t="s">
        <v>32</v>
      </c>
      <c r="E292" s="43" t="s">
        <v>15</v>
      </c>
      <c r="F292" s="42" t="s">
        <v>15</v>
      </c>
      <c r="G292" s="84">
        <f>G296+G293</f>
        <v>24390.618870000002</v>
      </c>
    </row>
    <row r="293" spans="1:7" s="10" customFormat="1" ht="31.5">
      <c r="A293" s="45"/>
      <c r="B293" s="41" t="s">
        <v>332</v>
      </c>
      <c r="C293" s="42" t="s">
        <v>108</v>
      </c>
      <c r="D293" s="42" t="s">
        <v>32</v>
      </c>
      <c r="E293" s="43" t="s">
        <v>333</v>
      </c>
      <c r="F293" s="42"/>
      <c r="G293" s="84">
        <f>G294</f>
        <v>30</v>
      </c>
    </row>
    <row r="294" spans="1:7" s="10" customFormat="1" ht="63">
      <c r="A294" s="45"/>
      <c r="B294" s="49" t="s">
        <v>343</v>
      </c>
      <c r="C294" s="42" t="s">
        <v>108</v>
      </c>
      <c r="D294" s="42" t="s">
        <v>32</v>
      </c>
      <c r="E294" s="43" t="s">
        <v>334</v>
      </c>
      <c r="F294" s="42"/>
      <c r="G294" s="84">
        <f>G295</f>
        <v>30</v>
      </c>
    </row>
    <row r="295" spans="1:7" s="10" customFormat="1" ht="15.75">
      <c r="A295" s="45"/>
      <c r="B295" s="41" t="s">
        <v>337</v>
      </c>
      <c r="C295" s="42" t="s">
        <v>108</v>
      </c>
      <c r="D295" s="42" t="s">
        <v>32</v>
      </c>
      <c r="E295" s="43" t="s">
        <v>334</v>
      </c>
      <c r="F295" s="42" t="s">
        <v>18</v>
      </c>
      <c r="G295" s="84">
        <v>30</v>
      </c>
    </row>
    <row r="296" spans="1:7" s="10" customFormat="1" ht="15.75">
      <c r="A296" s="45"/>
      <c r="B296" s="41" t="s">
        <v>9</v>
      </c>
      <c r="C296" s="42" t="s">
        <v>108</v>
      </c>
      <c r="D296" s="42" t="s">
        <v>32</v>
      </c>
      <c r="E296" s="43" t="s">
        <v>10</v>
      </c>
      <c r="F296" s="42"/>
      <c r="G296" s="84">
        <f>G297</f>
        <v>24360.618870000002</v>
      </c>
    </row>
    <row r="297" spans="1:7" s="20" customFormat="1" ht="47.25">
      <c r="A297" s="50"/>
      <c r="B297" s="41" t="s">
        <v>16</v>
      </c>
      <c r="C297" s="42" t="s">
        <v>108</v>
      </c>
      <c r="D297" s="42" t="s">
        <v>32</v>
      </c>
      <c r="E297" s="43" t="s">
        <v>17</v>
      </c>
      <c r="F297" s="42"/>
      <c r="G297" s="84">
        <f>G298+G303+G301</f>
        <v>24360.618870000002</v>
      </c>
    </row>
    <row r="298" spans="1:7" s="18" customFormat="1" ht="47.25">
      <c r="A298" s="50"/>
      <c r="B298" s="41" t="s">
        <v>11</v>
      </c>
      <c r="C298" s="42" t="s">
        <v>108</v>
      </c>
      <c r="D298" s="42" t="s">
        <v>32</v>
      </c>
      <c r="E298" s="43" t="s">
        <v>17</v>
      </c>
      <c r="F298" s="42" t="s">
        <v>12</v>
      </c>
      <c r="G298" s="84">
        <f>14339.74464+580.5+4004.53351+0.05626-21.01583+1101.05294+332.51799+2000+1010.752+18.34644-188.03568+305.248+5.54064-411.68398-124.32857</f>
        <v>22953.22836</v>
      </c>
    </row>
    <row r="299" spans="1:7" s="18" customFormat="1" ht="15.75">
      <c r="A299" s="50"/>
      <c r="B299" s="89" t="s">
        <v>264</v>
      </c>
      <c r="C299" s="97"/>
      <c r="D299" s="97"/>
      <c r="E299" s="98"/>
      <c r="F299" s="97"/>
      <c r="G299" s="156">
        <f>2000+1010.752+305.248</f>
        <v>3316</v>
      </c>
    </row>
    <row r="300" spans="1:7" s="18" customFormat="1" ht="63">
      <c r="A300" s="50"/>
      <c r="B300" s="105" t="s">
        <v>346</v>
      </c>
      <c r="C300" s="42"/>
      <c r="D300" s="42"/>
      <c r="E300" s="43"/>
      <c r="F300" s="42"/>
      <c r="G300" s="156">
        <f>68.74445+5.24669+20.76496+0.05626+18.34644+5.54064</f>
        <v>118.69944</v>
      </c>
    </row>
    <row r="301" spans="1:7" s="19" customFormat="1" ht="15.75">
      <c r="A301" s="58"/>
      <c r="B301" s="41" t="s">
        <v>337</v>
      </c>
      <c r="C301" s="42" t="s">
        <v>108</v>
      </c>
      <c r="D301" s="42" t="s">
        <v>32</v>
      </c>
      <c r="E301" s="59" t="s">
        <v>17</v>
      </c>
      <c r="F301" s="42" t="s">
        <v>18</v>
      </c>
      <c r="G301" s="84">
        <f>789.95864-0.5-0.05626-5+158.53549+0.39264</f>
        <v>943.33051</v>
      </c>
    </row>
    <row r="302" spans="1:7" s="19" customFormat="1" ht="63">
      <c r="A302" s="58"/>
      <c r="B302" s="105" t="s">
        <v>346</v>
      </c>
      <c r="C302" s="42"/>
      <c r="D302" s="42"/>
      <c r="E302" s="59"/>
      <c r="F302" s="42"/>
      <c r="G302" s="156">
        <f>1.69054-0.05626+0.39264</f>
        <v>2.02692</v>
      </c>
    </row>
    <row r="303" spans="1:7" s="18" customFormat="1" ht="15.75">
      <c r="A303" s="50"/>
      <c r="B303" s="41" t="s">
        <v>19</v>
      </c>
      <c r="C303" s="42" t="s">
        <v>108</v>
      </c>
      <c r="D303" s="42" t="s">
        <v>32</v>
      </c>
      <c r="E303" s="43" t="s">
        <v>17</v>
      </c>
      <c r="F303" s="42" t="s">
        <v>20</v>
      </c>
      <c r="G303" s="84">
        <f>18+183.06+0.5+5+257.5</f>
        <v>464.06</v>
      </c>
    </row>
    <row r="304" spans="1:7" s="17" customFormat="1" ht="15" customHeight="1">
      <c r="A304" s="58"/>
      <c r="B304" s="41" t="s">
        <v>39</v>
      </c>
      <c r="C304" s="42" t="s">
        <v>108</v>
      </c>
      <c r="D304" s="42" t="s">
        <v>40</v>
      </c>
      <c r="E304" s="59"/>
      <c r="F304" s="42"/>
      <c r="G304" s="84">
        <f>G305</f>
        <v>1319.38584</v>
      </c>
    </row>
    <row r="305" spans="1:7" s="19" customFormat="1" ht="30.75" customHeight="1">
      <c r="A305" s="58"/>
      <c r="B305" s="41" t="s">
        <v>241</v>
      </c>
      <c r="C305" s="42" t="s">
        <v>108</v>
      </c>
      <c r="D305" s="42" t="s">
        <v>40</v>
      </c>
      <c r="E305" s="43" t="s">
        <v>109</v>
      </c>
      <c r="F305" s="42"/>
      <c r="G305" s="84">
        <f>G306+G308+G312+G310</f>
        <v>1319.38584</v>
      </c>
    </row>
    <row r="306" spans="1:7" s="19" customFormat="1" ht="63">
      <c r="A306" s="58"/>
      <c r="B306" s="56" t="s">
        <v>110</v>
      </c>
      <c r="C306" s="42" t="s">
        <v>108</v>
      </c>
      <c r="D306" s="42" t="s">
        <v>40</v>
      </c>
      <c r="E306" s="43" t="s">
        <v>111</v>
      </c>
      <c r="F306" s="42"/>
      <c r="G306" s="84">
        <f>G307</f>
        <v>350</v>
      </c>
    </row>
    <row r="307" spans="1:7" s="19" customFormat="1" ht="15.75">
      <c r="A307" s="48"/>
      <c r="B307" s="41" t="s">
        <v>337</v>
      </c>
      <c r="C307" s="42" t="s">
        <v>108</v>
      </c>
      <c r="D307" s="42" t="s">
        <v>40</v>
      </c>
      <c r="E307" s="43" t="s">
        <v>111</v>
      </c>
      <c r="F307" s="42" t="s">
        <v>18</v>
      </c>
      <c r="G307" s="84">
        <f>500-150</f>
        <v>350</v>
      </c>
    </row>
    <row r="308" spans="1:7" s="19" customFormat="1" ht="63">
      <c r="A308" s="45"/>
      <c r="B308" s="56" t="s">
        <v>112</v>
      </c>
      <c r="C308" s="42" t="s">
        <v>108</v>
      </c>
      <c r="D308" s="42" t="s">
        <v>40</v>
      </c>
      <c r="E308" s="43" t="s">
        <v>113</v>
      </c>
      <c r="F308" s="42"/>
      <c r="G308" s="84">
        <f>G309</f>
        <v>618.1</v>
      </c>
    </row>
    <row r="309" spans="1:7" s="19" customFormat="1" ht="15.75">
      <c r="A309" s="45"/>
      <c r="B309" s="41" t="s">
        <v>337</v>
      </c>
      <c r="C309" s="42" t="s">
        <v>108</v>
      </c>
      <c r="D309" s="42" t="s">
        <v>40</v>
      </c>
      <c r="E309" s="43" t="s">
        <v>113</v>
      </c>
      <c r="F309" s="42" t="s">
        <v>18</v>
      </c>
      <c r="G309" s="84">
        <f>500+118.1</f>
        <v>618.1</v>
      </c>
    </row>
    <row r="310" spans="1:7" s="19" customFormat="1" ht="63">
      <c r="A310" s="45"/>
      <c r="B310" s="49" t="s">
        <v>312</v>
      </c>
      <c r="C310" s="42" t="s">
        <v>108</v>
      </c>
      <c r="D310" s="42" t="s">
        <v>40</v>
      </c>
      <c r="E310" s="43" t="s">
        <v>118</v>
      </c>
      <c r="F310" s="42"/>
      <c r="G310" s="84">
        <f>G311</f>
        <v>187.5</v>
      </c>
    </row>
    <row r="311" spans="1:7" s="19" customFormat="1" ht="15.75">
      <c r="A311" s="45"/>
      <c r="B311" s="41" t="s">
        <v>337</v>
      </c>
      <c r="C311" s="42" t="s">
        <v>108</v>
      </c>
      <c r="D311" s="42" t="s">
        <v>40</v>
      </c>
      <c r="E311" s="43" t="s">
        <v>118</v>
      </c>
      <c r="F311" s="42" t="s">
        <v>18</v>
      </c>
      <c r="G311" s="84">
        <f>150-62.5+100</f>
        <v>187.5</v>
      </c>
    </row>
    <row r="312" spans="1:7" s="19" customFormat="1" ht="63">
      <c r="A312" s="45"/>
      <c r="B312" s="56" t="s">
        <v>268</v>
      </c>
      <c r="C312" s="42" t="s">
        <v>108</v>
      </c>
      <c r="D312" s="42" t="s">
        <v>40</v>
      </c>
      <c r="E312" s="43" t="s">
        <v>269</v>
      </c>
      <c r="F312" s="42"/>
      <c r="G312" s="84">
        <f>G313</f>
        <v>163.78584</v>
      </c>
    </row>
    <row r="313" spans="1:7" s="19" customFormat="1" ht="15.75">
      <c r="A313" s="45"/>
      <c r="B313" s="41" t="s">
        <v>337</v>
      </c>
      <c r="C313" s="42" t="s">
        <v>108</v>
      </c>
      <c r="D313" s="42" t="s">
        <v>40</v>
      </c>
      <c r="E313" s="43" t="s">
        <v>269</v>
      </c>
      <c r="F313" s="42" t="s">
        <v>18</v>
      </c>
      <c r="G313" s="84">
        <f>150+13.78584</f>
        <v>163.78584</v>
      </c>
    </row>
    <row r="314" spans="1:8" s="19" customFormat="1" ht="15" customHeight="1">
      <c r="A314" s="45"/>
      <c r="B314" s="41" t="s">
        <v>66</v>
      </c>
      <c r="C314" s="42" t="s">
        <v>108</v>
      </c>
      <c r="D314" s="42" t="s">
        <v>67</v>
      </c>
      <c r="E314" s="43"/>
      <c r="F314" s="42"/>
      <c r="G314" s="84">
        <f>G315+G353+G342</f>
        <v>1005878.7024600001</v>
      </c>
      <c r="H314" s="172"/>
    </row>
    <row r="315" spans="1:7" s="19" customFormat="1" ht="15" customHeight="1">
      <c r="A315" s="45"/>
      <c r="B315" s="41" t="s">
        <v>68</v>
      </c>
      <c r="C315" s="63" t="s">
        <v>108</v>
      </c>
      <c r="D315" s="63" t="s">
        <v>69</v>
      </c>
      <c r="E315" s="64"/>
      <c r="F315" s="63"/>
      <c r="G315" s="84">
        <f>G316+G320+G333</f>
        <v>509953.41736</v>
      </c>
    </row>
    <row r="316" spans="1:7" s="19" customFormat="1" ht="30.75" customHeight="1">
      <c r="A316" s="45"/>
      <c r="B316" s="41" t="s">
        <v>241</v>
      </c>
      <c r="C316" s="42" t="s">
        <v>108</v>
      </c>
      <c r="D316" s="42" t="s">
        <v>69</v>
      </c>
      <c r="E316" s="43" t="s">
        <v>109</v>
      </c>
      <c r="F316" s="42"/>
      <c r="G316" s="84">
        <f>G317</f>
        <v>8421.0695</v>
      </c>
    </row>
    <row r="317" spans="1:7" s="19" customFormat="1" ht="63">
      <c r="A317" s="45"/>
      <c r="B317" s="56" t="s">
        <v>177</v>
      </c>
      <c r="C317" s="42" t="s">
        <v>108</v>
      </c>
      <c r="D317" s="42" t="s">
        <v>69</v>
      </c>
      <c r="E317" s="43" t="s">
        <v>118</v>
      </c>
      <c r="F317" s="42"/>
      <c r="G317" s="84">
        <f>G318+G319</f>
        <v>8421.0695</v>
      </c>
    </row>
    <row r="318" spans="1:7" s="19" customFormat="1" ht="15.75">
      <c r="A318" s="45"/>
      <c r="B318" s="41" t="s">
        <v>337</v>
      </c>
      <c r="C318" s="42" t="s">
        <v>108</v>
      </c>
      <c r="D318" s="42" t="s">
        <v>69</v>
      </c>
      <c r="E318" s="43" t="s">
        <v>118</v>
      </c>
      <c r="F318" s="42" t="s">
        <v>18</v>
      </c>
      <c r="G318" s="84">
        <f>6351.04953-250-398.33352-1962.50954+2349.81745-871.44166+3146.205</f>
        <v>8364.78726</v>
      </c>
    </row>
    <row r="319" spans="1:7" s="19" customFormat="1" ht="15.75">
      <c r="A319" s="45"/>
      <c r="B319" s="62" t="s">
        <v>19</v>
      </c>
      <c r="C319" s="42" t="s">
        <v>108</v>
      </c>
      <c r="D319" s="42" t="s">
        <v>69</v>
      </c>
      <c r="E319" s="43" t="s">
        <v>118</v>
      </c>
      <c r="F319" s="42" t="s">
        <v>20</v>
      </c>
      <c r="G319" s="84">
        <f>11.02561+45.25663</f>
        <v>56.28224</v>
      </c>
    </row>
    <row r="320" spans="1:7" s="19" customFormat="1" ht="31.5">
      <c r="A320" s="45"/>
      <c r="B320" s="49" t="s">
        <v>178</v>
      </c>
      <c r="C320" s="42" t="s">
        <v>108</v>
      </c>
      <c r="D320" s="42" t="s">
        <v>69</v>
      </c>
      <c r="E320" s="43" t="s">
        <v>114</v>
      </c>
      <c r="F320" s="42"/>
      <c r="G320" s="84">
        <f>G321+G324</f>
        <v>7278.414210000001</v>
      </c>
    </row>
    <row r="321" spans="1:7" s="19" customFormat="1" ht="31.5">
      <c r="A321" s="45"/>
      <c r="B321" s="49" t="s">
        <v>323</v>
      </c>
      <c r="C321" s="42" t="s">
        <v>108</v>
      </c>
      <c r="D321" s="42" t="s">
        <v>69</v>
      </c>
      <c r="E321" s="43" t="s">
        <v>322</v>
      </c>
      <c r="F321" s="42"/>
      <c r="G321" s="84">
        <f>G322</f>
        <v>50</v>
      </c>
    </row>
    <row r="322" spans="1:7" s="19" customFormat="1" ht="78.75">
      <c r="A322" s="45"/>
      <c r="B322" s="49" t="s">
        <v>331</v>
      </c>
      <c r="C322" s="42" t="s">
        <v>108</v>
      </c>
      <c r="D322" s="42" t="s">
        <v>69</v>
      </c>
      <c r="E322" s="43" t="s">
        <v>324</v>
      </c>
      <c r="F322" s="42"/>
      <c r="G322" s="84">
        <f>G323</f>
        <v>50</v>
      </c>
    </row>
    <row r="323" spans="1:7" s="19" customFormat="1" ht="15.75">
      <c r="A323" s="45"/>
      <c r="B323" s="41" t="s">
        <v>337</v>
      </c>
      <c r="C323" s="42" t="s">
        <v>108</v>
      </c>
      <c r="D323" s="42" t="s">
        <v>69</v>
      </c>
      <c r="E323" s="43" t="s">
        <v>324</v>
      </c>
      <c r="F323" s="42" t="s">
        <v>18</v>
      </c>
      <c r="G323" s="84">
        <f>150-70-30</f>
        <v>50</v>
      </c>
    </row>
    <row r="324" spans="1:7" s="19" customFormat="1" ht="31.5">
      <c r="A324" s="45"/>
      <c r="B324" s="49" t="s">
        <v>179</v>
      </c>
      <c r="C324" s="42" t="s">
        <v>108</v>
      </c>
      <c r="D324" s="42" t="s">
        <v>69</v>
      </c>
      <c r="E324" s="43" t="s">
        <v>180</v>
      </c>
      <c r="F324" s="42"/>
      <c r="G324" s="84">
        <f>G328+G331+G325</f>
        <v>7228.414210000001</v>
      </c>
    </row>
    <row r="325" spans="1:7" s="19" customFormat="1" ht="94.5">
      <c r="A325" s="45"/>
      <c r="B325" s="56" t="s">
        <v>413</v>
      </c>
      <c r="C325" s="42" t="s">
        <v>108</v>
      </c>
      <c r="D325" s="42" t="s">
        <v>69</v>
      </c>
      <c r="E325" s="43" t="s">
        <v>410</v>
      </c>
      <c r="F325" s="42"/>
      <c r="G325" s="84">
        <f>G326</f>
        <v>4121.90242</v>
      </c>
    </row>
    <row r="326" spans="1:7" s="19" customFormat="1" ht="15.75">
      <c r="A326" s="45"/>
      <c r="B326" s="41" t="s">
        <v>340</v>
      </c>
      <c r="C326" s="42" t="s">
        <v>108</v>
      </c>
      <c r="D326" s="42" t="s">
        <v>69</v>
      </c>
      <c r="E326" s="43" t="s">
        <v>410</v>
      </c>
      <c r="F326" s="42" t="s">
        <v>342</v>
      </c>
      <c r="G326" s="84">
        <v>4121.90242</v>
      </c>
    </row>
    <row r="327" spans="1:7" s="19" customFormat="1" ht="15.75">
      <c r="A327" s="45"/>
      <c r="B327" s="89" t="s">
        <v>408</v>
      </c>
      <c r="C327" s="42"/>
      <c r="D327" s="42"/>
      <c r="E327" s="43"/>
      <c r="F327" s="42"/>
      <c r="G327" s="156">
        <v>4121.90242</v>
      </c>
    </row>
    <row r="328" spans="1:7" s="19" customFormat="1" ht="93" customHeight="1">
      <c r="A328" s="45"/>
      <c r="B328" s="56" t="s">
        <v>416</v>
      </c>
      <c r="C328" s="42" t="s">
        <v>108</v>
      </c>
      <c r="D328" s="42" t="s">
        <v>69</v>
      </c>
      <c r="E328" s="43" t="s">
        <v>383</v>
      </c>
      <c r="F328" s="42"/>
      <c r="G328" s="84">
        <f>G329</f>
        <v>3100.8511</v>
      </c>
    </row>
    <row r="329" spans="1:7" s="19" customFormat="1" ht="15.75">
      <c r="A329" s="45"/>
      <c r="B329" s="41" t="s">
        <v>340</v>
      </c>
      <c r="C329" s="42" t="s">
        <v>108</v>
      </c>
      <c r="D329" s="42" t="s">
        <v>69</v>
      </c>
      <c r="E329" s="43" t="s">
        <v>383</v>
      </c>
      <c r="F329" s="42" t="s">
        <v>342</v>
      </c>
      <c r="G329" s="84">
        <v>3100.8511</v>
      </c>
    </row>
    <row r="330" spans="1:7" s="19" customFormat="1" ht="15.75">
      <c r="A330" s="45"/>
      <c r="B330" s="89" t="s">
        <v>384</v>
      </c>
      <c r="C330" s="42"/>
      <c r="D330" s="42"/>
      <c r="E330" s="43"/>
      <c r="F330" s="42"/>
      <c r="G330" s="156">
        <v>3100.8511</v>
      </c>
    </row>
    <row r="331" spans="1:7" s="19" customFormat="1" ht="91.5" customHeight="1">
      <c r="A331" s="45"/>
      <c r="B331" s="49" t="s">
        <v>418</v>
      </c>
      <c r="C331" s="42" t="s">
        <v>108</v>
      </c>
      <c r="D331" s="42" t="s">
        <v>69</v>
      </c>
      <c r="E331" s="43" t="s">
        <v>385</v>
      </c>
      <c r="F331" s="42"/>
      <c r="G331" s="84">
        <f>G332</f>
        <v>5.66069</v>
      </c>
    </row>
    <row r="332" spans="1:7" s="19" customFormat="1" ht="15.75">
      <c r="A332" s="45"/>
      <c r="B332" s="41" t="s">
        <v>340</v>
      </c>
      <c r="C332" s="42" t="s">
        <v>108</v>
      </c>
      <c r="D332" s="42" t="s">
        <v>69</v>
      </c>
      <c r="E332" s="43" t="s">
        <v>385</v>
      </c>
      <c r="F332" s="42" t="s">
        <v>342</v>
      </c>
      <c r="G332" s="84">
        <f>7.22999-1.5693</f>
        <v>5.66069</v>
      </c>
    </row>
    <row r="333" spans="1:7" s="19" customFormat="1" ht="31.5">
      <c r="A333" s="45"/>
      <c r="B333" s="41" t="s">
        <v>404</v>
      </c>
      <c r="C333" s="42" t="s">
        <v>108</v>
      </c>
      <c r="D333" s="42" t="s">
        <v>69</v>
      </c>
      <c r="E333" s="43" t="s">
        <v>405</v>
      </c>
      <c r="F333" s="42"/>
      <c r="G333" s="84">
        <f>G334+G337+G340</f>
        <v>494253.93365</v>
      </c>
    </row>
    <row r="334" spans="1:7" s="19" customFormat="1" ht="95.25" customHeight="1">
      <c r="A334" s="45"/>
      <c r="B334" s="49" t="s">
        <v>414</v>
      </c>
      <c r="C334" s="42" t="s">
        <v>108</v>
      </c>
      <c r="D334" s="42" t="s">
        <v>69</v>
      </c>
      <c r="E334" s="43" t="s">
        <v>406</v>
      </c>
      <c r="F334" s="42"/>
      <c r="G334" s="84">
        <f>G335</f>
        <v>388949.93572</v>
      </c>
    </row>
    <row r="335" spans="1:7" s="19" customFormat="1" ht="15.75">
      <c r="A335" s="45"/>
      <c r="B335" s="41" t="s">
        <v>340</v>
      </c>
      <c r="C335" s="42" t="s">
        <v>108</v>
      </c>
      <c r="D335" s="42" t="s">
        <v>69</v>
      </c>
      <c r="E335" s="43" t="s">
        <v>406</v>
      </c>
      <c r="F335" s="42" t="s">
        <v>342</v>
      </c>
      <c r="G335" s="84">
        <v>388949.93572</v>
      </c>
    </row>
    <row r="336" spans="1:7" s="19" customFormat="1" ht="15.75">
      <c r="A336" s="45"/>
      <c r="B336" s="89" t="s">
        <v>408</v>
      </c>
      <c r="C336" s="42"/>
      <c r="D336" s="42"/>
      <c r="E336" s="43"/>
      <c r="F336" s="42"/>
      <c r="G336" s="156">
        <v>388949.93572</v>
      </c>
    </row>
    <row r="337" spans="1:7" s="19" customFormat="1" ht="78.75">
      <c r="A337" s="45"/>
      <c r="B337" s="49" t="s">
        <v>415</v>
      </c>
      <c r="C337" s="42" t="s">
        <v>108</v>
      </c>
      <c r="D337" s="42" t="s">
        <v>69</v>
      </c>
      <c r="E337" s="43" t="s">
        <v>407</v>
      </c>
      <c r="F337" s="42"/>
      <c r="G337" s="84">
        <f>G338</f>
        <v>104809.744</v>
      </c>
    </row>
    <row r="338" spans="1:7" s="19" customFormat="1" ht="15.75">
      <c r="A338" s="45"/>
      <c r="B338" s="41" t="s">
        <v>340</v>
      </c>
      <c r="C338" s="42" t="s">
        <v>108</v>
      </c>
      <c r="D338" s="42" t="s">
        <v>69</v>
      </c>
      <c r="E338" s="43" t="s">
        <v>407</v>
      </c>
      <c r="F338" s="42" t="s">
        <v>342</v>
      </c>
      <c r="G338" s="84">
        <v>104809.744</v>
      </c>
    </row>
    <row r="339" spans="1:7" s="19" customFormat="1" ht="15.75">
      <c r="A339" s="45"/>
      <c r="B339" s="89" t="s">
        <v>384</v>
      </c>
      <c r="C339" s="42"/>
      <c r="D339" s="42"/>
      <c r="E339" s="43"/>
      <c r="F339" s="42"/>
      <c r="G339" s="156">
        <v>104809.744</v>
      </c>
    </row>
    <row r="340" spans="1:7" s="19" customFormat="1" ht="78.75">
      <c r="A340" s="45"/>
      <c r="B340" s="49" t="s">
        <v>417</v>
      </c>
      <c r="C340" s="42" t="s">
        <v>108</v>
      </c>
      <c r="D340" s="42" t="s">
        <v>69</v>
      </c>
      <c r="E340" s="43" t="s">
        <v>409</v>
      </c>
      <c r="F340" s="42"/>
      <c r="G340" s="84">
        <f>G341</f>
        <v>494.25393</v>
      </c>
    </row>
    <row r="341" spans="1:7" s="19" customFormat="1" ht="15.75">
      <c r="A341" s="45"/>
      <c r="B341" s="41" t="s">
        <v>340</v>
      </c>
      <c r="C341" s="42" t="s">
        <v>108</v>
      </c>
      <c r="D341" s="42" t="s">
        <v>69</v>
      </c>
      <c r="E341" s="43" t="s">
        <v>409</v>
      </c>
      <c r="F341" s="42" t="s">
        <v>342</v>
      </c>
      <c r="G341" s="84">
        <v>494.25393</v>
      </c>
    </row>
    <row r="342" spans="1:7" s="19" customFormat="1" ht="15.75">
      <c r="A342" s="45"/>
      <c r="B342" s="41" t="s">
        <v>73</v>
      </c>
      <c r="C342" s="63" t="s">
        <v>108</v>
      </c>
      <c r="D342" s="63" t="s">
        <v>74</v>
      </c>
      <c r="E342" s="64"/>
      <c r="F342" s="63"/>
      <c r="G342" s="84">
        <f>G343</f>
        <v>489267.93239000003</v>
      </c>
    </row>
    <row r="343" spans="1:7" s="19" customFormat="1" ht="31.5">
      <c r="A343" s="45"/>
      <c r="B343" s="41" t="s">
        <v>225</v>
      </c>
      <c r="C343" s="42" t="s">
        <v>108</v>
      </c>
      <c r="D343" s="42" t="s">
        <v>74</v>
      </c>
      <c r="E343" s="43" t="s">
        <v>76</v>
      </c>
      <c r="F343" s="42"/>
      <c r="G343" s="84">
        <f>G344</f>
        <v>489267.93239000003</v>
      </c>
    </row>
    <row r="344" spans="1:7" s="19" customFormat="1" ht="31.5">
      <c r="A344" s="45"/>
      <c r="B344" s="53" t="s">
        <v>211</v>
      </c>
      <c r="C344" s="42" t="s">
        <v>108</v>
      </c>
      <c r="D344" s="42" t="s">
        <v>74</v>
      </c>
      <c r="E344" s="43" t="s">
        <v>77</v>
      </c>
      <c r="F344" s="42"/>
      <c r="G344" s="84">
        <f>G347+G350+G345</f>
        <v>489267.93239000003</v>
      </c>
    </row>
    <row r="345" spans="1:7" s="19" customFormat="1" ht="63">
      <c r="A345" s="45"/>
      <c r="B345" s="49" t="s">
        <v>419</v>
      </c>
      <c r="C345" s="42" t="s">
        <v>108</v>
      </c>
      <c r="D345" s="42" t="s">
        <v>74</v>
      </c>
      <c r="E345" s="43" t="s">
        <v>420</v>
      </c>
      <c r="F345" s="42"/>
      <c r="G345" s="84">
        <f>G346</f>
        <v>1373.32621</v>
      </c>
    </row>
    <row r="346" spans="1:7" s="19" customFormat="1" ht="15.75">
      <c r="A346" s="45"/>
      <c r="B346" s="41" t="s">
        <v>340</v>
      </c>
      <c r="C346" s="42" t="s">
        <v>108</v>
      </c>
      <c r="D346" s="42" t="s">
        <v>74</v>
      </c>
      <c r="E346" s="43" t="s">
        <v>420</v>
      </c>
      <c r="F346" s="42" t="s">
        <v>342</v>
      </c>
      <c r="G346" s="84">
        <f>1257.35836+115.96785</f>
        <v>1373.32621</v>
      </c>
    </row>
    <row r="347" spans="1:7" s="19" customFormat="1" ht="63">
      <c r="A347" s="45"/>
      <c r="B347" s="49" t="s">
        <v>367</v>
      </c>
      <c r="C347" s="42" t="s">
        <v>108</v>
      </c>
      <c r="D347" s="42" t="s">
        <v>74</v>
      </c>
      <c r="E347" s="43" t="s">
        <v>341</v>
      </c>
      <c r="F347" s="42"/>
      <c r="G347" s="84">
        <f>G348</f>
        <v>478136.714</v>
      </c>
    </row>
    <row r="348" spans="1:7" s="19" customFormat="1" ht="15.75">
      <c r="A348" s="45"/>
      <c r="B348" s="41" t="s">
        <v>340</v>
      </c>
      <c r="C348" s="42" t="s">
        <v>108</v>
      </c>
      <c r="D348" s="42" t="s">
        <v>74</v>
      </c>
      <c r="E348" s="43" t="s">
        <v>341</v>
      </c>
      <c r="F348" s="42" t="s">
        <v>342</v>
      </c>
      <c r="G348" s="84">
        <f>478136.7166+9757.89218-9757.89218-0.0026</f>
        <v>478136.714</v>
      </c>
    </row>
    <row r="349" spans="1:7" s="19" customFormat="1" ht="15.75">
      <c r="A349" s="45"/>
      <c r="B349" s="105" t="s">
        <v>231</v>
      </c>
      <c r="C349" s="42"/>
      <c r="D349" s="42"/>
      <c r="E349" s="43"/>
      <c r="F349" s="42"/>
      <c r="G349" s="156">
        <f>478136.7166-0.0026</f>
        <v>478136.714</v>
      </c>
    </row>
    <row r="350" spans="1:7" s="19" customFormat="1" ht="63">
      <c r="A350" s="45"/>
      <c r="B350" s="49" t="s">
        <v>367</v>
      </c>
      <c r="C350" s="42" t="s">
        <v>108</v>
      </c>
      <c r="D350" s="42" t="s">
        <v>74</v>
      </c>
      <c r="E350" s="43" t="s">
        <v>356</v>
      </c>
      <c r="F350" s="42"/>
      <c r="G350" s="84">
        <f>G351</f>
        <v>9757.89218</v>
      </c>
    </row>
    <row r="351" spans="1:7" s="19" customFormat="1" ht="15.75">
      <c r="A351" s="45"/>
      <c r="B351" s="41" t="s">
        <v>340</v>
      </c>
      <c r="C351" s="42" t="s">
        <v>108</v>
      </c>
      <c r="D351" s="42" t="s">
        <v>74</v>
      </c>
      <c r="E351" s="43" t="s">
        <v>356</v>
      </c>
      <c r="F351" s="42" t="s">
        <v>342</v>
      </c>
      <c r="G351" s="84">
        <v>9757.89218</v>
      </c>
    </row>
    <row r="352" spans="1:7" s="19" customFormat="1" ht="15.75">
      <c r="A352" s="45"/>
      <c r="B352" s="105" t="s">
        <v>198</v>
      </c>
      <c r="C352" s="42"/>
      <c r="D352" s="42"/>
      <c r="E352" s="43"/>
      <c r="F352" s="42"/>
      <c r="G352" s="156">
        <v>9757.89218</v>
      </c>
    </row>
    <row r="353" spans="1:7" s="19" customFormat="1" ht="15.75">
      <c r="A353" s="45"/>
      <c r="B353" s="41" t="s">
        <v>93</v>
      </c>
      <c r="C353" s="42" t="s">
        <v>108</v>
      </c>
      <c r="D353" s="42" t="s">
        <v>94</v>
      </c>
      <c r="E353" s="43"/>
      <c r="F353" s="42"/>
      <c r="G353" s="84">
        <f>G354</f>
        <v>6657.35271</v>
      </c>
    </row>
    <row r="354" spans="1:7" s="19" customFormat="1" ht="15.75">
      <c r="A354" s="45"/>
      <c r="B354" s="41" t="s">
        <v>9</v>
      </c>
      <c r="C354" s="42" t="s">
        <v>108</v>
      </c>
      <c r="D354" s="42" t="s">
        <v>94</v>
      </c>
      <c r="E354" s="43" t="s">
        <v>10</v>
      </c>
      <c r="F354" s="42"/>
      <c r="G354" s="84">
        <f>G355</f>
        <v>6657.35271</v>
      </c>
    </row>
    <row r="355" spans="1:7" s="19" customFormat="1" ht="15.75">
      <c r="A355" s="45"/>
      <c r="B355" s="41" t="s">
        <v>298</v>
      </c>
      <c r="C355" s="42" t="s">
        <v>108</v>
      </c>
      <c r="D355" s="42" t="s">
        <v>94</v>
      </c>
      <c r="E355" s="43" t="s">
        <v>299</v>
      </c>
      <c r="F355" s="42"/>
      <c r="G355" s="84">
        <f>G356+G357</f>
        <v>6657.35271</v>
      </c>
    </row>
    <row r="356" spans="1:7" s="19" customFormat="1" ht="15.75">
      <c r="A356" s="45"/>
      <c r="B356" s="41" t="s">
        <v>337</v>
      </c>
      <c r="C356" s="42" t="s">
        <v>108</v>
      </c>
      <c r="D356" s="42" t="s">
        <v>94</v>
      </c>
      <c r="E356" s="43" t="s">
        <v>299</v>
      </c>
      <c r="F356" s="42" t="s">
        <v>18</v>
      </c>
      <c r="G356" s="84">
        <f>1500-193.407+372.70252+1654.72385+1152.79461+1546.3</f>
        <v>6033.11398</v>
      </c>
    </row>
    <row r="357" spans="1:7" s="19" customFormat="1" ht="15" customHeight="1">
      <c r="A357" s="45"/>
      <c r="B357" s="62" t="s">
        <v>19</v>
      </c>
      <c r="C357" s="42" t="s">
        <v>108</v>
      </c>
      <c r="D357" s="42" t="s">
        <v>94</v>
      </c>
      <c r="E357" s="43" t="s">
        <v>299</v>
      </c>
      <c r="F357" s="42" t="s">
        <v>20</v>
      </c>
      <c r="G357" s="84">
        <f>10.347+25.631+296.76008+238.45319+53.04746</f>
        <v>624.23873</v>
      </c>
    </row>
    <row r="358" spans="1:7" s="12" customFormat="1" ht="15" customHeight="1">
      <c r="A358" s="36">
        <v>7</v>
      </c>
      <c r="B358" s="37" t="s">
        <v>115</v>
      </c>
      <c r="C358" s="57" t="s">
        <v>116</v>
      </c>
      <c r="D358" s="57"/>
      <c r="E358" s="38"/>
      <c r="F358" s="57"/>
      <c r="G358" s="39">
        <f>G359+G395</f>
        <v>29124.847489999993</v>
      </c>
    </row>
    <row r="359" spans="1:7" s="10" customFormat="1" ht="15.75">
      <c r="A359" s="45"/>
      <c r="B359" s="41" t="s">
        <v>7</v>
      </c>
      <c r="C359" s="42" t="s">
        <v>116</v>
      </c>
      <c r="D359" s="42" t="s">
        <v>8</v>
      </c>
      <c r="E359" s="43"/>
      <c r="F359" s="42"/>
      <c r="G359" s="84">
        <f>G360+G367</f>
        <v>28774.847489999993</v>
      </c>
    </row>
    <row r="360" spans="1:7" s="10" customFormat="1" ht="31.5">
      <c r="A360" s="45"/>
      <c r="B360" s="41" t="s">
        <v>31</v>
      </c>
      <c r="C360" s="42" t="s">
        <v>116</v>
      </c>
      <c r="D360" s="42" t="s">
        <v>32</v>
      </c>
      <c r="E360" s="43" t="s">
        <v>15</v>
      </c>
      <c r="F360" s="42" t="s">
        <v>15</v>
      </c>
      <c r="G360" s="84">
        <f>G361</f>
        <v>10169.66398</v>
      </c>
    </row>
    <row r="361" spans="1:7" s="10" customFormat="1" ht="15" customHeight="1">
      <c r="A361" s="45"/>
      <c r="B361" s="41" t="s">
        <v>9</v>
      </c>
      <c r="C361" s="42" t="s">
        <v>116</v>
      </c>
      <c r="D361" s="42" t="s">
        <v>32</v>
      </c>
      <c r="E361" s="43" t="s">
        <v>10</v>
      </c>
      <c r="F361" s="42"/>
      <c r="G361" s="84">
        <f>G362</f>
        <v>10169.66398</v>
      </c>
    </row>
    <row r="362" spans="1:7" s="10" customFormat="1" ht="30.75" customHeight="1">
      <c r="A362" s="45"/>
      <c r="B362" s="41" t="s">
        <v>16</v>
      </c>
      <c r="C362" s="42" t="s">
        <v>116</v>
      </c>
      <c r="D362" s="42" t="s">
        <v>32</v>
      </c>
      <c r="E362" s="43" t="s">
        <v>17</v>
      </c>
      <c r="F362" s="42"/>
      <c r="G362" s="84">
        <f>G363+G365+G366</f>
        <v>10169.66398</v>
      </c>
    </row>
    <row r="363" spans="1:7" s="10" customFormat="1" ht="47.25">
      <c r="A363" s="45"/>
      <c r="B363" s="41" t="s">
        <v>11</v>
      </c>
      <c r="C363" s="42" t="s">
        <v>116</v>
      </c>
      <c r="D363" s="42" t="s">
        <v>32</v>
      </c>
      <c r="E363" s="43" t="s">
        <v>17</v>
      </c>
      <c r="F363" s="42" t="s">
        <v>12</v>
      </c>
      <c r="G363" s="84">
        <f>6149.34736+421.59+1857.10288+102.83+31.055+277.14573+156.17801+800+560-102.83-31.055-250</f>
        <v>9971.36398</v>
      </c>
    </row>
    <row r="364" spans="1:7" s="10" customFormat="1" ht="15.75">
      <c r="A364" s="45"/>
      <c r="B364" s="89" t="s">
        <v>264</v>
      </c>
      <c r="C364" s="97"/>
      <c r="D364" s="97"/>
      <c r="E364" s="98"/>
      <c r="F364" s="97"/>
      <c r="G364" s="156">
        <f>800+560</f>
        <v>1360</v>
      </c>
    </row>
    <row r="365" spans="1:7" s="16" customFormat="1" ht="15.75">
      <c r="A365" s="60"/>
      <c r="B365" s="41" t="s">
        <v>337</v>
      </c>
      <c r="C365" s="42" t="s">
        <v>116</v>
      </c>
      <c r="D365" s="42" t="s">
        <v>32</v>
      </c>
      <c r="E365" s="43" t="s">
        <v>17</v>
      </c>
      <c r="F365" s="42" t="s">
        <v>18</v>
      </c>
      <c r="G365" s="84">
        <f>268.3+12.1244-70-2-12.1244</f>
        <v>196.29999999999998</v>
      </c>
    </row>
    <row r="366" spans="1:7" s="16" customFormat="1" ht="15.75">
      <c r="A366" s="60"/>
      <c r="B366" s="62" t="s">
        <v>19</v>
      </c>
      <c r="C366" s="42" t="s">
        <v>116</v>
      </c>
      <c r="D366" s="42" t="s">
        <v>32</v>
      </c>
      <c r="E366" s="43" t="s">
        <v>17</v>
      </c>
      <c r="F366" s="42" t="s">
        <v>20</v>
      </c>
      <c r="G366" s="84">
        <v>2</v>
      </c>
    </row>
    <row r="367" spans="1:7" s="10" customFormat="1" ht="15.75">
      <c r="A367" s="45"/>
      <c r="B367" s="41" t="s">
        <v>39</v>
      </c>
      <c r="C367" s="42" t="s">
        <v>116</v>
      </c>
      <c r="D367" s="42" t="s">
        <v>40</v>
      </c>
      <c r="E367" s="43"/>
      <c r="F367" s="42"/>
      <c r="G367" s="84">
        <f>G368+G382+G388+G373+G378</f>
        <v>18605.183509999995</v>
      </c>
    </row>
    <row r="368" spans="1:7" s="21" customFormat="1" ht="31.5">
      <c r="A368" s="58"/>
      <c r="B368" s="41" t="s">
        <v>241</v>
      </c>
      <c r="C368" s="42" t="s">
        <v>116</v>
      </c>
      <c r="D368" s="42" t="s">
        <v>40</v>
      </c>
      <c r="E368" s="43" t="s">
        <v>109</v>
      </c>
      <c r="F368" s="42"/>
      <c r="G368" s="84">
        <f>G369+G371</f>
        <v>763.46011</v>
      </c>
    </row>
    <row r="369" spans="1:7" s="19" customFormat="1" ht="63">
      <c r="A369" s="45"/>
      <c r="B369" s="49" t="s">
        <v>117</v>
      </c>
      <c r="C369" s="42" t="s">
        <v>116</v>
      </c>
      <c r="D369" s="42" t="s">
        <v>40</v>
      </c>
      <c r="E369" s="43" t="s">
        <v>120</v>
      </c>
      <c r="F369" s="42"/>
      <c r="G369" s="84">
        <f>G370</f>
        <v>214.00833</v>
      </c>
    </row>
    <row r="370" spans="1:7" s="19" customFormat="1" ht="15.75">
      <c r="A370" s="45"/>
      <c r="B370" s="41" t="s">
        <v>337</v>
      </c>
      <c r="C370" s="42" t="s">
        <v>116</v>
      </c>
      <c r="D370" s="42" t="s">
        <v>40</v>
      </c>
      <c r="E370" s="43" t="s">
        <v>120</v>
      </c>
      <c r="F370" s="42" t="s">
        <v>18</v>
      </c>
      <c r="G370" s="84">
        <f>1500-100-380.59583-805.39584</f>
        <v>214.00833</v>
      </c>
    </row>
    <row r="371" spans="1:7" s="19" customFormat="1" ht="78.75">
      <c r="A371" s="45"/>
      <c r="B371" s="49" t="s">
        <v>119</v>
      </c>
      <c r="C371" s="42" t="s">
        <v>116</v>
      </c>
      <c r="D371" s="42" t="s">
        <v>40</v>
      </c>
      <c r="E371" s="43" t="s">
        <v>181</v>
      </c>
      <c r="F371" s="42"/>
      <c r="G371" s="84">
        <f>G372</f>
        <v>549.45178</v>
      </c>
    </row>
    <row r="372" spans="1:7" s="19" customFormat="1" ht="15.75">
      <c r="A372" s="45"/>
      <c r="B372" s="41" t="s">
        <v>337</v>
      </c>
      <c r="C372" s="42" t="s">
        <v>116</v>
      </c>
      <c r="D372" s="42" t="s">
        <v>40</v>
      </c>
      <c r="E372" s="43" t="s">
        <v>181</v>
      </c>
      <c r="F372" s="42" t="s">
        <v>18</v>
      </c>
      <c r="G372" s="84">
        <f>500+300-250.54822</f>
        <v>549.45178</v>
      </c>
    </row>
    <row r="373" spans="1:7" s="19" customFormat="1" ht="31.5">
      <c r="A373" s="45"/>
      <c r="B373" s="41" t="s">
        <v>287</v>
      </c>
      <c r="C373" s="42" t="s">
        <v>116</v>
      </c>
      <c r="D373" s="42" t="s">
        <v>40</v>
      </c>
      <c r="E373" s="43" t="s">
        <v>288</v>
      </c>
      <c r="F373" s="42"/>
      <c r="G373" s="84">
        <f>G376+G374</f>
        <v>602.8408</v>
      </c>
    </row>
    <row r="374" spans="1:7" s="19" customFormat="1" ht="63.75" customHeight="1">
      <c r="A374" s="45"/>
      <c r="B374" s="49" t="s">
        <v>358</v>
      </c>
      <c r="C374" s="42" t="s">
        <v>116</v>
      </c>
      <c r="D374" s="42" t="s">
        <v>40</v>
      </c>
      <c r="E374" s="43" t="s">
        <v>357</v>
      </c>
      <c r="F374" s="42"/>
      <c r="G374" s="84">
        <f>G375</f>
        <v>120</v>
      </c>
    </row>
    <row r="375" spans="1:7" s="19" customFormat="1" ht="15.75">
      <c r="A375" s="45"/>
      <c r="B375" s="41" t="s">
        <v>337</v>
      </c>
      <c r="C375" s="42" t="s">
        <v>116</v>
      </c>
      <c r="D375" s="42" t="s">
        <v>40</v>
      </c>
      <c r="E375" s="43" t="s">
        <v>357</v>
      </c>
      <c r="F375" s="42" t="s">
        <v>18</v>
      </c>
      <c r="G375" s="84">
        <f>150-30</f>
        <v>120</v>
      </c>
    </row>
    <row r="376" spans="1:7" s="19" customFormat="1" ht="78.75">
      <c r="A376" s="45"/>
      <c r="B376" s="49" t="s">
        <v>352</v>
      </c>
      <c r="C376" s="42" t="s">
        <v>116</v>
      </c>
      <c r="D376" s="42" t="s">
        <v>40</v>
      </c>
      <c r="E376" s="43" t="s">
        <v>326</v>
      </c>
      <c r="F376" s="42"/>
      <c r="G376" s="84">
        <f>G377</f>
        <v>482.84079999999994</v>
      </c>
    </row>
    <row r="377" spans="1:7" s="19" customFormat="1" ht="15" customHeight="1">
      <c r="A377" s="45"/>
      <c r="B377" s="41" t="s">
        <v>337</v>
      </c>
      <c r="C377" s="42" t="s">
        <v>116</v>
      </c>
      <c r="D377" s="42" t="s">
        <v>40</v>
      </c>
      <c r="E377" s="43" t="s">
        <v>326</v>
      </c>
      <c r="F377" s="42" t="s">
        <v>18</v>
      </c>
      <c r="G377" s="84">
        <f>1000-517.1592</f>
        <v>482.84079999999994</v>
      </c>
    </row>
    <row r="378" spans="1:7" s="19" customFormat="1" ht="15.75">
      <c r="A378" s="45"/>
      <c r="B378" s="41" t="s">
        <v>242</v>
      </c>
      <c r="C378" s="42" t="s">
        <v>116</v>
      </c>
      <c r="D378" s="42" t="s">
        <v>40</v>
      </c>
      <c r="E378" s="43" t="s">
        <v>101</v>
      </c>
      <c r="F378" s="51"/>
      <c r="G378" s="84">
        <f>G379</f>
        <v>486.8689999999997</v>
      </c>
    </row>
    <row r="379" spans="1:7" s="19" customFormat="1" ht="15.75">
      <c r="A379" s="45"/>
      <c r="B379" s="41" t="s">
        <v>223</v>
      </c>
      <c r="C379" s="42" t="s">
        <v>116</v>
      </c>
      <c r="D379" s="42" t="s">
        <v>40</v>
      </c>
      <c r="E379" s="43" t="s">
        <v>102</v>
      </c>
      <c r="F379" s="51"/>
      <c r="G379" s="84">
        <f>G380</f>
        <v>486.8689999999997</v>
      </c>
    </row>
    <row r="380" spans="1:7" s="19" customFormat="1" ht="78.75">
      <c r="A380" s="45"/>
      <c r="B380" s="49" t="s">
        <v>345</v>
      </c>
      <c r="C380" s="42" t="s">
        <v>116</v>
      </c>
      <c r="D380" s="42" t="s">
        <v>40</v>
      </c>
      <c r="E380" s="43" t="s">
        <v>344</v>
      </c>
      <c r="F380" s="95"/>
      <c r="G380" s="84">
        <f>G381</f>
        <v>486.8689999999997</v>
      </c>
    </row>
    <row r="381" spans="1:7" s="19" customFormat="1" ht="15.75">
      <c r="A381" s="45"/>
      <c r="B381" s="41" t="s">
        <v>340</v>
      </c>
      <c r="C381" s="42" t="s">
        <v>116</v>
      </c>
      <c r="D381" s="42" t="s">
        <v>40</v>
      </c>
      <c r="E381" s="43" t="s">
        <v>344</v>
      </c>
      <c r="F381" s="51" t="s">
        <v>342</v>
      </c>
      <c r="G381" s="84">
        <f>5240+897.6686-5650.7996</f>
        <v>486.8689999999997</v>
      </c>
    </row>
    <row r="382" spans="1:7" s="13" customFormat="1" ht="30.75" customHeight="1">
      <c r="A382" s="50"/>
      <c r="B382" s="53" t="s">
        <v>178</v>
      </c>
      <c r="C382" s="42" t="s">
        <v>116</v>
      </c>
      <c r="D382" s="42" t="s">
        <v>40</v>
      </c>
      <c r="E382" s="43" t="s">
        <v>114</v>
      </c>
      <c r="F382" s="42"/>
      <c r="G382" s="84">
        <f>G383</f>
        <v>4980.59583</v>
      </c>
    </row>
    <row r="383" spans="1:7" s="13" customFormat="1" ht="31.5">
      <c r="A383" s="50"/>
      <c r="B383" s="53" t="s">
        <v>182</v>
      </c>
      <c r="C383" s="42" t="s">
        <v>116</v>
      </c>
      <c r="D383" s="42" t="s">
        <v>40</v>
      </c>
      <c r="E383" s="43" t="s">
        <v>121</v>
      </c>
      <c r="F383" s="42"/>
      <c r="G383" s="84">
        <f>G385</f>
        <v>4980.59583</v>
      </c>
    </row>
    <row r="384" spans="1:7" s="13" customFormat="1" ht="31.5">
      <c r="A384" s="50"/>
      <c r="B384" s="53" t="s">
        <v>349</v>
      </c>
      <c r="C384" s="42" t="s">
        <v>116</v>
      </c>
      <c r="D384" s="42" t="s">
        <v>40</v>
      </c>
      <c r="E384" s="43" t="s">
        <v>348</v>
      </c>
      <c r="F384" s="42"/>
      <c r="G384" s="84">
        <f>G385</f>
        <v>4980.59583</v>
      </c>
    </row>
    <row r="385" spans="1:7" s="13" customFormat="1" ht="15.75">
      <c r="A385" s="50"/>
      <c r="B385" s="41" t="s">
        <v>337</v>
      </c>
      <c r="C385" s="42" t="s">
        <v>116</v>
      </c>
      <c r="D385" s="42" t="s">
        <v>40</v>
      </c>
      <c r="E385" s="43" t="s">
        <v>348</v>
      </c>
      <c r="F385" s="42" t="s">
        <v>18</v>
      </c>
      <c r="G385" s="84">
        <f>4750+500-269.40417</f>
        <v>4980.59583</v>
      </c>
    </row>
    <row r="386" spans="1:7" s="11" customFormat="1" ht="15.75">
      <c r="A386" s="50"/>
      <c r="B386" s="105" t="s">
        <v>199</v>
      </c>
      <c r="C386" s="42"/>
      <c r="D386" s="42"/>
      <c r="E386" s="43"/>
      <c r="F386" s="42"/>
      <c r="G386" s="156">
        <v>4750</v>
      </c>
    </row>
    <row r="387" spans="1:7" s="11" customFormat="1" ht="15" customHeight="1">
      <c r="A387" s="50"/>
      <c r="B387" s="105" t="s">
        <v>198</v>
      </c>
      <c r="C387" s="42"/>
      <c r="D387" s="42"/>
      <c r="E387" s="43"/>
      <c r="F387" s="42"/>
      <c r="G387" s="156">
        <f>500-269.40417</f>
        <v>230.59582999999998</v>
      </c>
    </row>
    <row r="388" spans="1:7" s="11" customFormat="1" ht="15.75">
      <c r="A388" s="50"/>
      <c r="B388" s="62" t="s">
        <v>9</v>
      </c>
      <c r="C388" s="63" t="s">
        <v>116</v>
      </c>
      <c r="D388" s="63" t="s">
        <v>40</v>
      </c>
      <c r="E388" s="64" t="s">
        <v>10</v>
      </c>
      <c r="F388" s="63"/>
      <c r="G388" s="84">
        <f>G389</f>
        <v>11771.41777</v>
      </c>
    </row>
    <row r="389" spans="1:7" s="11" customFormat="1" ht="31.5">
      <c r="A389" s="50"/>
      <c r="B389" s="41" t="s">
        <v>296</v>
      </c>
      <c r="C389" s="42" t="s">
        <v>116</v>
      </c>
      <c r="D389" s="42" t="s">
        <v>40</v>
      </c>
      <c r="E389" s="43" t="s">
        <v>297</v>
      </c>
      <c r="F389" s="42"/>
      <c r="G389" s="84">
        <f>G390+G392+G394</f>
        <v>11771.41777</v>
      </c>
    </row>
    <row r="390" spans="1:7" s="11" customFormat="1" ht="47.25">
      <c r="A390" s="50"/>
      <c r="B390" s="41" t="s">
        <v>11</v>
      </c>
      <c r="C390" s="42" t="s">
        <v>116</v>
      </c>
      <c r="D390" s="42" t="s">
        <v>40</v>
      </c>
      <c r="E390" s="43" t="s">
        <v>297</v>
      </c>
      <c r="F390" s="42" t="s">
        <v>12</v>
      </c>
      <c r="G390" s="84">
        <f>8893.5808+562+2685.8614-1452.15208-438.54993+409.11508+123.5531+102.83+31.055-292</f>
        <v>10625.29337</v>
      </c>
    </row>
    <row r="391" spans="1:7" s="11" customFormat="1" ht="15.75">
      <c r="A391" s="50"/>
      <c r="B391" s="89" t="s">
        <v>411</v>
      </c>
      <c r="C391" s="42"/>
      <c r="D391" s="42"/>
      <c r="E391" s="43"/>
      <c r="F391" s="42"/>
      <c r="G391" s="156">
        <f>102.83+31.055</f>
        <v>133.885</v>
      </c>
    </row>
    <row r="392" spans="1:7" s="11" customFormat="1" ht="15.75">
      <c r="A392" s="50"/>
      <c r="B392" s="41" t="s">
        <v>337</v>
      </c>
      <c r="C392" s="42" t="s">
        <v>116</v>
      </c>
      <c r="D392" s="42" t="s">
        <v>40</v>
      </c>
      <c r="E392" s="43" t="s">
        <v>297</v>
      </c>
      <c r="F392" s="42" t="s">
        <v>18</v>
      </c>
      <c r="G392" s="84">
        <f>2564-430-2+12.1244-1000</f>
        <v>1144.1244000000002</v>
      </c>
    </row>
    <row r="393" spans="1:7" s="11" customFormat="1" ht="15.75">
      <c r="A393" s="50"/>
      <c r="B393" s="89" t="s">
        <v>411</v>
      </c>
      <c r="C393" s="42"/>
      <c r="D393" s="42"/>
      <c r="E393" s="43"/>
      <c r="F393" s="42"/>
      <c r="G393" s="156">
        <f>12.1244</f>
        <v>12.1244</v>
      </c>
    </row>
    <row r="394" spans="1:7" s="11" customFormat="1" ht="15.75">
      <c r="A394" s="61"/>
      <c r="B394" s="62" t="s">
        <v>19</v>
      </c>
      <c r="C394" s="42" t="s">
        <v>116</v>
      </c>
      <c r="D394" s="42" t="s">
        <v>40</v>
      </c>
      <c r="E394" s="43" t="s">
        <v>297</v>
      </c>
      <c r="F394" s="42" t="s">
        <v>20</v>
      </c>
      <c r="G394" s="160">
        <v>2</v>
      </c>
    </row>
    <row r="395" spans="1:7" s="11" customFormat="1" ht="15.75">
      <c r="A395" s="61"/>
      <c r="B395" s="62" t="s">
        <v>66</v>
      </c>
      <c r="C395" s="42" t="s">
        <v>116</v>
      </c>
      <c r="D395" s="42" t="s">
        <v>67</v>
      </c>
      <c r="E395" s="43"/>
      <c r="F395" s="42"/>
      <c r="G395" s="160">
        <f>G396</f>
        <v>350</v>
      </c>
    </row>
    <row r="396" spans="1:7" s="11" customFormat="1" ht="15.75">
      <c r="A396" s="61"/>
      <c r="B396" s="62" t="s">
        <v>80</v>
      </c>
      <c r="C396" s="42" t="s">
        <v>116</v>
      </c>
      <c r="D396" s="42" t="s">
        <v>81</v>
      </c>
      <c r="E396" s="43"/>
      <c r="F396" s="42"/>
      <c r="G396" s="160">
        <f>G397</f>
        <v>350</v>
      </c>
    </row>
    <row r="397" spans="1:7" s="11" customFormat="1" ht="31.5">
      <c r="A397" s="61"/>
      <c r="B397" s="62" t="s">
        <v>386</v>
      </c>
      <c r="C397" s="42" t="s">
        <v>116</v>
      </c>
      <c r="D397" s="42" t="s">
        <v>81</v>
      </c>
      <c r="E397" s="43" t="s">
        <v>64</v>
      </c>
      <c r="F397" s="42"/>
      <c r="G397" s="160">
        <f>G398</f>
        <v>350</v>
      </c>
    </row>
    <row r="398" spans="1:8" s="11" customFormat="1" ht="15.75">
      <c r="A398" s="61"/>
      <c r="B398" s="62" t="s">
        <v>122</v>
      </c>
      <c r="C398" s="42" t="s">
        <v>116</v>
      </c>
      <c r="D398" s="42" t="s">
        <v>81</v>
      </c>
      <c r="E398" s="43" t="s">
        <v>65</v>
      </c>
      <c r="F398" s="42"/>
      <c r="G398" s="160">
        <f>G399</f>
        <v>350</v>
      </c>
      <c r="H398" s="173"/>
    </row>
    <row r="399" spans="1:7" s="11" customFormat="1" ht="78.75">
      <c r="A399" s="61"/>
      <c r="B399" s="67" t="s">
        <v>387</v>
      </c>
      <c r="C399" s="42" t="s">
        <v>116</v>
      </c>
      <c r="D399" s="42" t="s">
        <v>81</v>
      </c>
      <c r="E399" s="43" t="s">
        <v>237</v>
      </c>
      <c r="F399" s="42"/>
      <c r="G399" s="160">
        <f>G400</f>
        <v>350</v>
      </c>
    </row>
    <row r="400" spans="1:7" s="11" customFormat="1" ht="15.75">
      <c r="A400" s="61"/>
      <c r="B400" s="41" t="s">
        <v>337</v>
      </c>
      <c r="C400" s="42" t="s">
        <v>116</v>
      </c>
      <c r="D400" s="42" t="s">
        <v>81</v>
      </c>
      <c r="E400" s="43" t="s">
        <v>237</v>
      </c>
      <c r="F400" s="42" t="s">
        <v>18</v>
      </c>
      <c r="G400" s="160">
        <v>350</v>
      </c>
    </row>
    <row r="401" spans="1:7" s="12" customFormat="1" ht="30.75" customHeight="1">
      <c r="A401" s="36">
        <v>8</v>
      </c>
      <c r="B401" s="37" t="s">
        <v>123</v>
      </c>
      <c r="C401" s="57" t="s">
        <v>124</v>
      </c>
      <c r="D401" s="57"/>
      <c r="E401" s="38"/>
      <c r="F401" s="57"/>
      <c r="G401" s="39">
        <f>G413+G433+G450+G459+G402+G425</f>
        <v>160686.70522</v>
      </c>
    </row>
    <row r="402" spans="1:7" s="12" customFormat="1" ht="15" customHeight="1">
      <c r="A402" s="81"/>
      <c r="B402" s="41" t="s">
        <v>7</v>
      </c>
      <c r="C402" s="42" t="s">
        <v>124</v>
      </c>
      <c r="D402" s="42" t="s">
        <v>8</v>
      </c>
      <c r="E402" s="43"/>
      <c r="F402" s="42"/>
      <c r="G402" s="84">
        <f>G403</f>
        <v>15604.18313</v>
      </c>
    </row>
    <row r="403" spans="1:7" s="12" customFormat="1" ht="31.5">
      <c r="A403" s="81"/>
      <c r="B403" s="41" t="s">
        <v>31</v>
      </c>
      <c r="C403" s="42" t="s">
        <v>124</v>
      </c>
      <c r="D403" s="42" t="s">
        <v>32</v>
      </c>
      <c r="E403" s="43" t="s">
        <v>15</v>
      </c>
      <c r="F403" s="42" t="s">
        <v>15</v>
      </c>
      <c r="G403" s="84">
        <f>G407+G404</f>
        <v>15604.18313</v>
      </c>
    </row>
    <row r="404" spans="1:7" s="12" customFormat="1" ht="31.5">
      <c r="A404" s="81"/>
      <c r="B404" s="41" t="s">
        <v>332</v>
      </c>
      <c r="C404" s="42" t="s">
        <v>124</v>
      </c>
      <c r="D404" s="42" t="s">
        <v>32</v>
      </c>
      <c r="E404" s="43" t="s">
        <v>333</v>
      </c>
      <c r="F404" s="42"/>
      <c r="G404" s="84">
        <f>G405</f>
        <v>20</v>
      </c>
    </row>
    <row r="405" spans="1:7" s="12" customFormat="1" ht="63">
      <c r="A405" s="81"/>
      <c r="B405" s="49" t="s">
        <v>343</v>
      </c>
      <c r="C405" s="42" t="s">
        <v>124</v>
      </c>
      <c r="D405" s="42" t="s">
        <v>32</v>
      </c>
      <c r="E405" s="43" t="s">
        <v>334</v>
      </c>
      <c r="F405" s="42"/>
      <c r="G405" s="84">
        <f>G406</f>
        <v>20</v>
      </c>
    </row>
    <row r="406" spans="1:7" s="12" customFormat="1" ht="15" customHeight="1">
      <c r="A406" s="81"/>
      <c r="B406" s="41" t="s">
        <v>337</v>
      </c>
      <c r="C406" s="42" t="s">
        <v>124</v>
      </c>
      <c r="D406" s="42" t="s">
        <v>32</v>
      </c>
      <c r="E406" s="43" t="s">
        <v>334</v>
      </c>
      <c r="F406" s="42" t="s">
        <v>18</v>
      </c>
      <c r="G406" s="84">
        <f>20</f>
        <v>20</v>
      </c>
    </row>
    <row r="407" spans="1:7" s="12" customFormat="1" ht="15.75">
      <c r="A407" s="81"/>
      <c r="B407" s="41" t="s">
        <v>9</v>
      </c>
      <c r="C407" s="42" t="s">
        <v>124</v>
      </c>
      <c r="D407" s="42" t="s">
        <v>32</v>
      </c>
      <c r="E407" s="43" t="s">
        <v>10</v>
      </c>
      <c r="F407" s="42"/>
      <c r="G407" s="84">
        <f>G408</f>
        <v>15584.18313</v>
      </c>
    </row>
    <row r="408" spans="1:7" s="12" customFormat="1" ht="47.25">
      <c r="A408" s="81"/>
      <c r="B408" s="41" t="s">
        <v>16</v>
      </c>
      <c r="C408" s="42" t="s">
        <v>124</v>
      </c>
      <c r="D408" s="42" t="s">
        <v>32</v>
      </c>
      <c r="E408" s="43" t="s">
        <v>17</v>
      </c>
      <c r="F408" s="42"/>
      <c r="G408" s="84">
        <f>G409+G412+G411</f>
        <v>15584.18313</v>
      </c>
    </row>
    <row r="409" spans="1:7" s="12" customFormat="1" ht="47.25">
      <c r="A409" s="81"/>
      <c r="B409" s="41" t="s">
        <v>11</v>
      </c>
      <c r="C409" s="42" t="s">
        <v>124</v>
      </c>
      <c r="D409" s="42" t="s">
        <v>32</v>
      </c>
      <c r="E409" s="43" t="s">
        <v>17</v>
      </c>
      <c r="F409" s="42" t="s">
        <v>12</v>
      </c>
      <c r="G409" s="84">
        <f>8930.28864+1050.26455+2680.93101+403.31588+229.74516+1200+645.16129+194.83871+295.90908-760+341.23333</f>
        <v>15211.68765</v>
      </c>
    </row>
    <row r="410" spans="1:7" s="12" customFormat="1" ht="15.75">
      <c r="A410" s="81"/>
      <c r="B410" s="89" t="s">
        <v>264</v>
      </c>
      <c r="C410" s="97"/>
      <c r="D410" s="97"/>
      <c r="E410" s="98"/>
      <c r="F410" s="97"/>
      <c r="G410" s="156">
        <f>1200+645.16129+194.83871</f>
        <v>2040</v>
      </c>
    </row>
    <row r="411" spans="1:7" s="12" customFormat="1" ht="15.75">
      <c r="A411" s="81"/>
      <c r="B411" s="41" t="s">
        <v>337</v>
      </c>
      <c r="C411" s="42" t="s">
        <v>124</v>
      </c>
      <c r="D411" s="42" t="s">
        <v>32</v>
      </c>
      <c r="E411" s="43" t="s">
        <v>17</v>
      </c>
      <c r="F411" s="42" t="s">
        <v>18</v>
      </c>
      <c r="G411" s="84">
        <f>515.49548-150</f>
        <v>365.49548000000004</v>
      </c>
    </row>
    <row r="412" spans="1:7" s="12" customFormat="1" ht="15.75">
      <c r="A412" s="81"/>
      <c r="B412" s="62" t="s">
        <v>19</v>
      </c>
      <c r="C412" s="42" t="s">
        <v>124</v>
      </c>
      <c r="D412" s="42" t="s">
        <v>32</v>
      </c>
      <c r="E412" s="43" t="s">
        <v>17</v>
      </c>
      <c r="F412" s="42" t="s">
        <v>20</v>
      </c>
      <c r="G412" s="84">
        <f>2+5</f>
        <v>7</v>
      </c>
    </row>
    <row r="413" spans="1:7" s="12" customFormat="1" ht="15" customHeight="1">
      <c r="A413" s="81"/>
      <c r="B413" s="41" t="s">
        <v>66</v>
      </c>
      <c r="C413" s="42" t="s">
        <v>124</v>
      </c>
      <c r="D413" s="42" t="s">
        <v>67</v>
      </c>
      <c r="E413" s="43"/>
      <c r="F413" s="42"/>
      <c r="G413" s="84">
        <f>G414</f>
        <v>37400.68863</v>
      </c>
    </row>
    <row r="414" spans="1:7" s="12" customFormat="1" ht="15" customHeight="1">
      <c r="A414" s="81"/>
      <c r="B414" s="62" t="s">
        <v>80</v>
      </c>
      <c r="C414" s="42" t="s">
        <v>124</v>
      </c>
      <c r="D414" s="42" t="s">
        <v>81</v>
      </c>
      <c r="E414" s="43"/>
      <c r="F414" s="42"/>
      <c r="G414" s="84">
        <f>G415</f>
        <v>37400.68863</v>
      </c>
    </row>
    <row r="415" spans="1:7" s="12" customFormat="1" ht="31.5">
      <c r="A415" s="81"/>
      <c r="B415" s="41" t="s">
        <v>183</v>
      </c>
      <c r="C415" s="42" t="s">
        <v>124</v>
      </c>
      <c r="D415" s="42" t="s">
        <v>81</v>
      </c>
      <c r="E415" s="43" t="s">
        <v>64</v>
      </c>
      <c r="F415" s="42"/>
      <c r="G415" s="84">
        <f>G416</f>
        <v>37400.68863</v>
      </c>
    </row>
    <row r="416" spans="1:7" s="12" customFormat="1" ht="15.75">
      <c r="A416" s="81"/>
      <c r="B416" s="62" t="s">
        <v>122</v>
      </c>
      <c r="C416" s="42" t="s">
        <v>124</v>
      </c>
      <c r="D416" s="42" t="s">
        <v>81</v>
      </c>
      <c r="E416" s="43" t="s">
        <v>65</v>
      </c>
      <c r="F416" s="42"/>
      <c r="G416" s="84">
        <f>G420+G422+G417</f>
        <v>37400.68863</v>
      </c>
    </row>
    <row r="417" spans="1:7" ht="78.75">
      <c r="A417" s="169"/>
      <c r="B417" s="67" t="s">
        <v>236</v>
      </c>
      <c r="C417" s="63" t="s">
        <v>124</v>
      </c>
      <c r="D417" s="63" t="s">
        <v>81</v>
      </c>
      <c r="E417" s="64" t="s">
        <v>237</v>
      </c>
      <c r="F417" s="63"/>
      <c r="G417" s="160">
        <f>G418</f>
        <v>4569.772</v>
      </c>
    </row>
    <row r="418" spans="1:7" ht="31.5">
      <c r="A418" s="169"/>
      <c r="B418" s="62" t="s">
        <v>58</v>
      </c>
      <c r="C418" s="63" t="s">
        <v>124</v>
      </c>
      <c r="D418" s="63" t="s">
        <v>81</v>
      </c>
      <c r="E418" s="64" t="s">
        <v>237</v>
      </c>
      <c r="F418" s="63" t="s">
        <v>59</v>
      </c>
      <c r="G418" s="160">
        <f>1047.71616+820+2702.05584</f>
        <v>4569.772</v>
      </c>
    </row>
    <row r="419" spans="1:7" ht="31.5">
      <c r="A419" s="169"/>
      <c r="B419" s="82" t="s">
        <v>390</v>
      </c>
      <c r="C419" s="63"/>
      <c r="D419" s="63"/>
      <c r="E419" s="64"/>
      <c r="F419" s="63"/>
      <c r="G419" s="170">
        <v>820</v>
      </c>
    </row>
    <row r="420" spans="1:7" s="12" customFormat="1" ht="63">
      <c r="A420" s="81"/>
      <c r="B420" s="67" t="s">
        <v>355</v>
      </c>
      <c r="C420" s="42" t="s">
        <v>124</v>
      </c>
      <c r="D420" s="42" t="s">
        <v>81</v>
      </c>
      <c r="E420" s="43" t="s">
        <v>354</v>
      </c>
      <c r="F420" s="42"/>
      <c r="G420" s="84">
        <f>G421</f>
        <v>11309.061</v>
      </c>
    </row>
    <row r="421" spans="1:7" s="23" customFormat="1" ht="31.5">
      <c r="A421" s="65"/>
      <c r="B421" s="62" t="s">
        <v>58</v>
      </c>
      <c r="C421" s="42" t="s">
        <v>124</v>
      </c>
      <c r="D421" s="42" t="s">
        <v>81</v>
      </c>
      <c r="E421" s="43" t="s">
        <v>354</v>
      </c>
      <c r="F421" s="42" t="s">
        <v>59</v>
      </c>
      <c r="G421" s="84">
        <f>8500+361.16215+2447.89885</f>
        <v>11309.061</v>
      </c>
    </row>
    <row r="422" spans="1:7" s="23" customFormat="1" ht="78.75">
      <c r="A422" s="65"/>
      <c r="B422" s="67" t="s">
        <v>366</v>
      </c>
      <c r="C422" s="42" t="s">
        <v>124</v>
      </c>
      <c r="D422" s="42" t="s">
        <v>81</v>
      </c>
      <c r="E422" s="43" t="s">
        <v>359</v>
      </c>
      <c r="F422" s="42"/>
      <c r="G422" s="84">
        <f>G423</f>
        <v>21521.85563</v>
      </c>
    </row>
    <row r="423" spans="1:7" s="23" customFormat="1" ht="31.5">
      <c r="A423" s="65"/>
      <c r="B423" s="62" t="s">
        <v>58</v>
      </c>
      <c r="C423" s="42" t="s">
        <v>124</v>
      </c>
      <c r="D423" s="42" t="s">
        <v>81</v>
      </c>
      <c r="E423" s="43" t="s">
        <v>359</v>
      </c>
      <c r="F423" s="42" t="s">
        <v>59</v>
      </c>
      <c r="G423" s="84">
        <f>35500-17657.33-2000+5679.18563</f>
        <v>21521.85563</v>
      </c>
    </row>
    <row r="424" spans="1:7" s="23" customFormat="1" ht="15" customHeight="1">
      <c r="A424" s="65"/>
      <c r="B424" s="105" t="s">
        <v>231</v>
      </c>
      <c r="C424" s="42"/>
      <c r="D424" s="42"/>
      <c r="E424" s="43"/>
      <c r="F424" s="42"/>
      <c r="G424" s="156">
        <f>35500-17657.33-2000+5679.18563</f>
        <v>21521.85563</v>
      </c>
    </row>
    <row r="425" spans="1:7" s="23" customFormat="1" ht="15" customHeight="1">
      <c r="A425" s="65"/>
      <c r="B425" s="49" t="s">
        <v>125</v>
      </c>
      <c r="C425" s="42" t="s">
        <v>124</v>
      </c>
      <c r="D425" s="42" t="s">
        <v>126</v>
      </c>
      <c r="E425" s="43"/>
      <c r="F425" s="42"/>
      <c r="G425" s="84">
        <f>G426</f>
        <v>230</v>
      </c>
    </row>
    <row r="426" spans="1:7" s="23" customFormat="1" ht="15" customHeight="1">
      <c r="A426" s="65"/>
      <c r="B426" s="62" t="s">
        <v>234</v>
      </c>
      <c r="C426" s="63" t="s">
        <v>124</v>
      </c>
      <c r="D426" s="63" t="s">
        <v>127</v>
      </c>
      <c r="E426" s="64"/>
      <c r="F426" s="63"/>
      <c r="G426" s="84">
        <f>G427</f>
        <v>230</v>
      </c>
    </row>
    <row r="427" spans="1:7" s="23" customFormat="1" ht="31.5">
      <c r="A427" s="65"/>
      <c r="B427" s="62" t="s">
        <v>184</v>
      </c>
      <c r="C427" s="63" t="s">
        <v>124</v>
      </c>
      <c r="D427" s="63" t="s">
        <v>127</v>
      </c>
      <c r="E427" s="64" t="s">
        <v>128</v>
      </c>
      <c r="F427" s="63"/>
      <c r="G427" s="84">
        <f>G428</f>
        <v>230</v>
      </c>
    </row>
    <row r="428" spans="1:7" s="23" customFormat="1" ht="15.75">
      <c r="A428" s="65"/>
      <c r="B428" s="62" t="s">
        <v>188</v>
      </c>
      <c r="C428" s="63" t="s">
        <v>124</v>
      </c>
      <c r="D428" s="63" t="s">
        <v>127</v>
      </c>
      <c r="E428" s="64" t="s">
        <v>187</v>
      </c>
      <c r="F428" s="63"/>
      <c r="G428" s="84">
        <f>G429+G431</f>
        <v>230</v>
      </c>
    </row>
    <row r="429" spans="1:7" s="23" customFormat="1" ht="63">
      <c r="A429" s="65"/>
      <c r="B429" s="67" t="s">
        <v>129</v>
      </c>
      <c r="C429" s="63" t="s">
        <v>124</v>
      </c>
      <c r="D429" s="63" t="s">
        <v>127</v>
      </c>
      <c r="E429" s="64" t="s">
        <v>189</v>
      </c>
      <c r="F429" s="63"/>
      <c r="G429" s="84">
        <f>G430</f>
        <v>170</v>
      </c>
    </row>
    <row r="430" spans="1:7" s="24" customFormat="1" ht="15" customHeight="1">
      <c r="A430" s="65"/>
      <c r="B430" s="41" t="s">
        <v>337</v>
      </c>
      <c r="C430" s="63" t="s">
        <v>124</v>
      </c>
      <c r="D430" s="63" t="s">
        <v>127</v>
      </c>
      <c r="E430" s="64" t="s">
        <v>189</v>
      </c>
      <c r="F430" s="63" t="s">
        <v>18</v>
      </c>
      <c r="G430" s="84">
        <f>220-50</f>
        <v>170</v>
      </c>
    </row>
    <row r="431" spans="1:7" s="23" customFormat="1" ht="63">
      <c r="A431" s="65"/>
      <c r="B431" s="67" t="s">
        <v>130</v>
      </c>
      <c r="C431" s="63" t="s">
        <v>124</v>
      </c>
      <c r="D431" s="63" t="s">
        <v>127</v>
      </c>
      <c r="E431" s="64" t="s">
        <v>190</v>
      </c>
      <c r="F431" s="63"/>
      <c r="G431" s="84">
        <f>G432</f>
        <v>60</v>
      </c>
    </row>
    <row r="432" spans="1:7" s="24" customFormat="1" ht="15" customHeight="1">
      <c r="A432" s="65"/>
      <c r="B432" s="41" t="s">
        <v>337</v>
      </c>
      <c r="C432" s="63" t="s">
        <v>124</v>
      </c>
      <c r="D432" s="63" t="s">
        <v>127</v>
      </c>
      <c r="E432" s="64" t="s">
        <v>190</v>
      </c>
      <c r="F432" s="63" t="s">
        <v>18</v>
      </c>
      <c r="G432" s="84">
        <v>60</v>
      </c>
    </row>
    <row r="433" spans="1:7" s="23" customFormat="1" ht="15" customHeight="1">
      <c r="A433" s="61" t="s">
        <v>131</v>
      </c>
      <c r="B433" s="68" t="s">
        <v>132</v>
      </c>
      <c r="C433" s="63" t="s">
        <v>124</v>
      </c>
      <c r="D433" s="63" t="s">
        <v>133</v>
      </c>
      <c r="E433" s="64"/>
      <c r="F433" s="63"/>
      <c r="G433" s="84">
        <f>G434</f>
        <v>38205.67357</v>
      </c>
    </row>
    <row r="434" spans="1:7" s="23" customFormat="1" ht="15" customHeight="1">
      <c r="A434" s="61"/>
      <c r="B434" s="62" t="s">
        <v>134</v>
      </c>
      <c r="C434" s="63" t="s">
        <v>124</v>
      </c>
      <c r="D434" s="63" t="s">
        <v>135</v>
      </c>
      <c r="E434" s="64"/>
      <c r="F434" s="63"/>
      <c r="G434" s="84">
        <f>G445+G435</f>
        <v>38205.67357</v>
      </c>
    </row>
    <row r="435" spans="1:7" s="23" customFormat="1" ht="15" customHeight="1">
      <c r="A435" s="61"/>
      <c r="B435" s="62" t="s">
        <v>193</v>
      </c>
      <c r="C435" s="63" t="s">
        <v>124</v>
      </c>
      <c r="D435" s="63" t="s">
        <v>135</v>
      </c>
      <c r="E435" s="64" t="s">
        <v>136</v>
      </c>
      <c r="F435" s="63"/>
      <c r="G435" s="84">
        <f>G436+G439</f>
        <v>768.78</v>
      </c>
    </row>
    <row r="436" spans="1:7" s="23" customFormat="1" ht="15" customHeight="1">
      <c r="A436" s="61"/>
      <c r="B436" s="62" t="s">
        <v>194</v>
      </c>
      <c r="C436" s="63" t="s">
        <v>124</v>
      </c>
      <c r="D436" s="63" t="s">
        <v>135</v>
      </c>
      <c r="E436" s="64" t="s">
        <v>195</v>
      </c>
      <c r="F436" s="63"/>
      <c r="G436" s="84">
        <f>G437</f>
        <v>400</v>
      </c>
    </row>
    <row r="437" spans="1:7" s="23" customFormat="1" ht="94.5">
      <c r="A437" s="61"/>
      <c r="B437" s="66" t="s">
        <v>266</v>
      </c>
      <c r="C437" s="63" t="s">
        <v>124</v>
      </c>
      <c r="D437" s="63" t="s">
        <v>135</v>
      </c>
      <c r="E437" s="64" t="s">
        <v>196</v>
      </c>
      <c r="F437" s="63"/>
      <c r="G437" s="84">
        <f>G438</f>
        <v>400</v>
      </c>
    </row>
    <row r="438" spans="1:7" s="23" customFormat="1" ht="15.75">
      <c r="A438" s="61"/>
      <c r="B438" s="41" t="s">
        <v>337</v>
      </c>
      <c r="C438" s="63" t="s">
        <v>124</v>
      </c>
      <c r="D438" s="63" t="s">
        <v>135</v>
      </c>
      <c r="E438" s="64" t="s">
        <v>196</v>
      </c>
      <c r="F438" s="63" t="s">
        <v>18</v>
      </c>
      <c r="G438" s="84">
        <v>400</v>
      </c>
    </row>
    <row r="439" spans="1:7" s="23" customFormat="1" ht="31.5">
      <c r="A439" s="61"/>
      <c r="B439" s="67" t="s">
        <v>313</v>
      </c>
      <c r="C439" s="63" t="s">
        <v>124</v>
      </c>
      <c r="D439" s="63" t="s">
        <v>135</v>
      </c>
      <c r="E439" s="64" t="s">
        <v>260</v>
      </c>
      <c r="F439" s="63"/>
      <c r="G439" s="84">
        <f>G440</f>
        <v>368.78</v>
      </c>
    </row>
    <row r="440" spans="1:7" s="23" customFormat="1" ht="63">
      <c r="A440" s="61"/>
      <c r="B440" s="67" t="s">
        <v>389</v>
      </c>
      <c r="C440" s="42" t="s">
        <v>124</v>
      </c>
      <c r="D440" s="42" t="s">
        <v>135</v>
      </c>
      <c r="E440" s="43" t="s">
        <v>388</v>
      </c>
      <c r="F440" s="42"/>
      <c r="G440" s="84">
        <f>G441</f>
        <v>368.78</v>
      </c>
    </row>
    <row r="441" spans="1:7" s="23" customFormat="1" ht="31.5">
      <c r="A441" s="61"/>
      <c r="B441" s="62" t="s">
        <v>58</v>
      </c>
      <c r="C441" s="42" t="s">
        <v>124</v>
      </c>
      <c r="D441" s="42" t="s">
        <v>135</v>
      </c>
      <c r="E441" s="43" t="s">
        <v>388</v>
      </c>
      <c r="F441" s="42" t="s">
        <v>59</v>
      </c>
      <c r="G441" s="84">
        <v>368.78</v>
      </c>
    </row>
    <row r="442" spans="1:7" s="23" customFormat="1" ht="15.75">
      <c r="A442" s="61"/>
      <c r="B442" s="168" t="s">
        <v>231</v>
      </c>
      <c r="C442" s="42"/>
      <c r="D442" s="42"/>
      <c r="E442" s="43"/>
      <c r="F442" s="42"/>
      <c r="G442" s="156">
        <v>130.9169</v>
      </c>
    </row>
    <row r="443" spans="1:7" s="23" customFormat="1" ht="15.75">
      <c r="A443" s="61"/>
      <c r="B443" s="168" t="s">
        <v>199</v>
      </c>
      <c r="C443" s="42"/>
      <c r="D443" s="42"/>
      <c r="E443" s="43"/>
      <c r="F443" s="42"/>
      <c r="G443" s="156">
        <v>130.9169</v>
      </c>
    </row>
    <row r="444" spans="1:7" s="23" customFormat="1" ht="15.75">
      <c r="A444" s="61"/>
      <c r="B444" s="168" t="s">
        <v>198</v>
      </c>
      <c r="C444" s="42"/>
      <c r="D444" s="42"/>
      <c r="E444" s="43"/>
      <c r="F444" s="42"/>
      <c r="G444" s="156">
        <v>106.9462</v>
      </c>
    </row>
    <row r="445" spans="1:7" s="23" customFormat="1" ht="15" customHeight="1">
      <c r="A445" s="61"/>
      <c r="B445" s="62" t="s">
        <v>9</v>
      </c>
      <c r="C445" s="63" t="s">
        <v>124</v>
      </c>
      <c r="D445" s="63" t="s">
        <v>135</v>
      </c>
      <c r="E445" s="64" t="s">
        <v>10</v>
      </c>
      <c r="F445" s="63"/>
      <c r="G445" s="84">
        <f>G446</f>
        <v>37436.89357</v>
      </c>
    </row>
    <row r="446" spans="1:7" s="25" customFormat="1" ht="30.75" customHeight="1">
      <c r="A446" s="69"/>
      <c r="B446" s="62" t="s">
        <v>191</v>
      </c>
      <c r="C446" s="63" t="s">
        <v>124</v>
      </c>
      <c r="D446" s="63" t="s">
        <v>135</v>
      </c>
      <c r="E446" s="64" t="s">
        <v>192</v>
      </c>
      <c r="F446" s="63"/>
      <c r="G446" s="84">
        <f>G447</f>
        <v>37436.89357</v>
      </c>
    </row>
    <row r="447" spans="1:7" s="26" customFormat="1" ht="31.5">
      <c r="A447" s="70"/>
      <c r="B447" s="62" t="s">
        <v>58</v>
      </c>
      <c r="C447" s="63" t="s">
        <v>124</v>
      </c>
      <c r="D447" s="63" t="s">
        <v>135</v>
      </c>
      <c r="E447" s="64" t="s">
        <v>192</v>
      </c>
      <c r="F447" s="63" t="s">
        <v>59</v>
      </c>
      <c r="G447" s="84">
        <f>33491.31398+576.93558-106.9462+600+1908.47011+130+1537.1201-300-400</f>
        <v>37436.89357</v>
      </c>
    </row>
    <row r="448" spans="1:7" s="26" customFormat="1" ht="15.75">
      <c r="A448" s="70"/>
      <c r="B448" s="82" t="s">
        <v>280</v>
      </c>
      <c r="C448" s="63"/>
      <c r="D448" s="63"/>
      <c r="E448" s="64"/>
      <c r="F448" s="63"/>
      <c r="G448" s="156">
        <v>1000</v>
      </c>
    </row>
    <row r="449" spans="1:7" s="26" customFormat="1" ht="31.5">
      <c r="A449" s="70"/>
      <c r="B449" s="89" t="s">
        <v>390</v>
      </c>
      <c r="C449" s="63"/>
      <c r="D449" s="63"/>
      <c r="E449" s="64"/>
      <c r="F449" s="63"/>
      <c r="G449" s="156">
        <f>600+130</f>
        <v>730</v>
      </c>
    </row>
    <row r="450" spans="1:7" s="24" customFormat="1" ht="15" customHeight="1">
      <c r="A450" s="61"/>
      <c r="B450" s="62" t="s">
        <v>43</v>
      </c>
      <c r="C450" s="63" t="s">
        <v>124</v>
      </c>
      <c r="D450" s="63" t="s">
        <v>44</v>
      </c>
      <c r="E450" s="64"/>
      <c r="F450" s="63"/>
      <c r="G450" s="84">
        <f>G451</f>
        <v>36714.99546</v>
      </c>
    </row>
    <row r="451" spans="1:7" s="24" customFormat="1" ht="15" customHeight="1">
      <c r="A451" s="61"/>
      <c r="B451" s="68" t="s">
        <v>45</v>
      </c>
      <c r="C451" s="63" t="s">
        <v>124</v>
      </c>
      <c r="D451" s="63" t="s">
        <v>46</v>
      </c>
      <c r="E451" s="64"/>
      <c r="F451" s="63"/>
      <c r="G451" s="84">
        <f>G452</f>
        <v>36714.99546</v>
      </c>
    </row>
    <row r="452" spans="1:7" s="24" customFormat="1" ht="31.5">
      <c r="A452" s="61"/>
      <c r="B452" s="53" t="s">
        <v>178</v>
      </c>
      <c r="C452" s="42" t="s">
        <v>124</v>
      </c>
      <c r="D452" s="42" t="s">
        <v>46</v>
      </c>
      <c r="E452" s="43" t="s">
        <v>114</v>
      </c>
      <c r="F452" s="42"/>
      <c r="G452" s="84">
        <f>G453</f>
        <v>36714.99546</v>
      </c>
    </row>
    <row r="453" spans="1:7" s="24" customFormat="1" ht="15.75">
      <c r="A453" s="61"/>
      <c r="B453" s="53" t="s">
        <v>263</v>
      </c>
      <c r="C453" s="42" t="s">
        <v>124</v>
      </c>
      <c r="D453" s="42" t="s">
        <v>46</v>
      </c>
      <c r="E453" s="43" t="s">
        <v>197</v>
      </c>
      <c r="F453" s="42"/>
      <c r="G453" s="84">
        <f>G454</f>
        <v>36714.99546</v>
      </c>
    </row>
    <row r="454" spans="1:7" s="27" customFormat="1" ht="47.25">
      <c r="A454" s="71"/>
      <c r="B454" s="49" t="s">
        <v>290</v>
      </c>
      <c r="C454" s="42" t="s">
        <v>124</v>
      </c>
      <c r="D454" s="42" t="s">
        <v>46</v>
      </c>
      <c r="E454" s="72" t="s">
        <v>271</v>
      </c>
      <c r="F454" s="42"/>
      <c r="G454" s="84">
        <f>G455</f>
        <v>36714.99546</v>
      </c>
    </row>
    <row r="455" spans="1:7" s="28" customFormat="1" ht="15" customHeight="1">
      <c r="A455" s="61"/>
      <c r="B455" s="44" t="s">
        <v>48</v>
      </c>
      <c r="C455" s="42" t="s">
        <v>124</v>
      </c>
      <c r="D455" s="42" t="s">
        <v>46</v>
      </c>
      <c r="E455" s="72" t="s">
        <v>271</v>
      </c>
      <c r="F455" s="42" t="s">
        <v>49</v>
      </c>
      <c r="G455" s="84">
        <f>G456+G457+G458</f>
        <v>36714.99546</v>
      </c>
    </row>
    <row r="456" spans="1:7" s="28" customFormat="1" ht="15" customHeight="1">
      <c r="A456" s="61"/>
      <c r="B456" s="105" t="s">
        <v>231</v>
      </c>
      <c r="C456" s="42"/>
      <c r="D456" s="42"/>
      <c r="E456" s="72"/>
      <c r="F456" s="42"/>
      <c r="G456" s="156">
        <v>7048.25378</v>
      </c>
    </row>
    <row r="457" spans="1:7" s="28" customFormat="1" ht="15" customHeight="1">
      <c r="A457" s="61"/>
      <c r="B457" s="105" t="s">
        <v>199</v>
      </c>
      <c r="C457" s="42"/>
      <c r="D457" s="42"/>
      <c r="E457" s="72"/>
      <c r="F457" s="42"/>
      <c r="G457" s="156">
        <v>22560.19321</v>
      </c>
    </row>
    <row r="458" spans="1:7" s="28" customFormat="1" ht="15" customHeight="1">
      <c r="A458" s="61"/>
      <c r="B458" s="105" t="s">
        <v>198</v>
      </c>
      <c r="C458" s="42"/>
      <c r="D458" s="42"/>
      <c r="E458" s="72"/>
      <c r="F458" s="42"/>
      <c r="G458" s="156">
        <v>7106.54847</v>
      </c>
    </row>
    <row r="459" spans="1:7" s="29" customFormat="1" ht="15" customHeight="1">
      <c r="A459" s="61"/>
      <c r="B459" s="74" t="s">
        <v>137</v>
      </c>
      <c r="C459" s="42" t="s">
        <v>124</v>
      </c>
      <c r="D459" s="42" t="s">
        <v>138</v>
      </c>
      <c r="E459" s="43"/>
      <c r="F459" s="42"/>
      <c r="G459" s="84">
        <f>G460</f>
        <v>32531.16443</v>
      </c>
    </row>
    <row r="460" spans="1:7" s="29" customFormat="1" ht="15" customHeight="1">
      <c r="A460" s="61"/>
      <c r="B460" s="71" t="s">
        <v>139</v>
      </c>
      <c r="C460" s="63" t="s">
        <v>124</v>
      </c>
      <c r="D460" s="63" t="s">
        <v>140</v>
      </c>
      <c r="E460" s="64"/>
      <c r="F460" s="63"/>
      <c r="G460" s="84">
        <f>G461+G469</f>
        <v>32531.16443</v>
      </c>
    </row>
    <row r="461" spans="1:7" s="30" customFormat="1" ht="30.75" customHeight="1">
      <c r="A461" s="75"/>
      <c r="B461" s="62" t="s">
        <v>200</v>
      </c>
      <c r="C461" s="63" t="s">
        <v>124</v>
      </c>
      <c r="D461" s="63" t="s">
        <v>140</v>
      </c>
      <c r="E461" s="64" t="s">
        <v>128</v>
      </c>
      <c r="F461" s="63"/>
      <c r="G461" s="84">
        <f>G462</f>
        <v>4777.98547</v>
      </c>
    </row>
    <row r="462" spans="1:7" s="23" customFormat="1" ht="31.5">
      <c r="A462" s="70"/>
      <c r="B462" s="66" t="s">
        <v>185</v>
      </c>
      <c r="C462" s="63" t="s">
        <v>124</v>
      </c>
      <c r="D462" s="63" t="s">
        <v>140</v>
      </c>
      <c r="E462" s="64" t="s">
        <v>143</v>
      </c>
      <c r="F462" s="63"/>
      <c r="G462" s="84">
        <f>G463+G465</f>
        <v>4777.98547</v>
      </c>
    </row>
    <row r="463" spans="1:7" s="23" customFormat="1" ht="78.75">
      <c r="A463" s="70"/>
      <c r="B463" s="66" t="s">
        <v>267</v>
      </c>
      <c r="C463" s="63" t="s">
        <v>124</v>
      </c>
      <c r="D463" s="63" t="s">
        <v>140</v>
      </c>
      <c r="E463" s="64" t="s">
        <v>144</v>
      </c>
      <c r="F463" s="63"/>
      <c r="G463" s="84">
        <f>G464</f>
        <v>200</v>
      </c>
    </row>
    <row r="464" spans="1:7" s="23" customFormat="1" ht="15.75">
      <c r="A464" s="76"/>
      <c r="B464" s="41" t="s">
        <v>337</v>
      </c>
      <c r="C464" s="63" t="s">
        <v>124</v>
      </c>
      <c r="D464" s="63" t="s">
        <v>140</v>
      </c>
      <c r="E464" s="64" t="s">
        <v>144</v>
      </c>
      <c r="F464" s="63" t="s">
        <v>18</v>
      </c>
      <c r="G464" s="84">
        <f>150+50</f>
        <v>200</v>
      </c>
    </row>
    <row r="465" spans="1:7" s="23" customFormat="1" ht="63">
      <c r="A465" s="70"/>
      <c r="B465" s="66" t="s">
        <v>201</v>
      </c>
      <c r="C465" s="63" t="s">
        <v>124</v>
      </c>
      <c r="D465" s="63" t="s">
        <v>140</v>
      </c>
      <c r="E465" s="64" t="s">
        <v>186</v>
      </c>
      <c r="F465" s="63"/>
      <c r="G465" s="84">
        <f>G466</f>
        <v>4577.98547</v>
      </c>
    </row>
    <row r="466" spans="1:7" s="23" customFormat="1" ht="31.5">
      <c r="A466" s="76"/>
      <c r="B466" s="62" t="s">
        <v>58</v>
      </c>
      <c r="C466" s="63" t="s">
        <v>124</v>
      </c>
      <c r="D466" s="63" t="s">
        <v>140</v>
      </c>
      <c r="E466" s="64" t="s">
        <v>186</v>
      </c>
      <c r="F466" s="63" t="s">
        <v>59</v>
      </c>
      <c r="G466" s="84">
        <f>5150-361.16215-1258.56854+2297.94416-1250.228</f>
        <v>4577.98547</v>
      </c>
    </row>
    <row r="467" spans="1:7" s="23" customFormat="1" ht="15" customHeight="1">
      <c r="A467" s="76"/>
      <c r="B467" s="62" t="s">
        <v>9</v>
      </c>
      <c r="C467" s="63" t="s">
        <v>124</v>
      </c>
      <c r="D467" s="63" t="s">
        <v>140</v>
      </c>
      <c r="E467" s="64" t="s">
        <v>10</v>
      </c>
      <c r="F467" s="63"/>
      <c r="G467" s="84">
        <f>G468</f>
        <v>27753.17896</v>
      </c>
    </row>
    <row r="468" spans="1:7" s="23" customFormat="1" ht="47.25">
      <c r="A468" s="76"/>
      <c r="B468" s="62" t="s">
        <v>141</v>
      </c>
      <c r="C468" s="63" t="s">
        <v>124</v>
      </c>
      <c r="D468" s="63" t="s">
        <v>140</v>
      </c>
      <c r="E468" s="64" t="s">
        <v>142</v>
      </c>
      <c r="F468" s="63"/>
      <c r="G468" s="84">
        <f>G469</f>
        <v>27753.17896</v>
      </c>
    </row>
    <row r="469" spans="1:7" s="23" customFormat="1" ht="31.5">
      <c r="A469" s="76"/>
      <c r="B469" s="62" t="s">
        <v>58</v>
      </c>
      <c r="C469" s="63" t="s">
        <v>124</v>
      </c>
      <c r="D469" s="63" t="s">
        <v>140</v>
      </c>
      <c r="E469" s="64" t="s">
        <v>142</v>
      </c>
      <c r="F469" s="63" t="s">
        <v>59</v>
      </c>
      <c r="G469" s="84">
        <f>21505.16713+2088.14053+948+1555.93565+400+1255.93565</f>
        <v>27753.17896</v>
      </c>
    </row>
    <row r="470" spans="1:7" s="23" customFormat="1" ht="31.5">
      <c r="A470" s="76"/>
      <c r="B470" s="89" t="s">
        <v>390</v>
      </c>
      <c r="C470" s="63"/>
      <c r="D470" s="63"/>
      <c r="E470" s="64"/>
      <c r="F470" s="63"/>
      <c r="G470" s="156">
        <f>948+400</f>
        <v>1348</v>
      </c>
    </row>
    <row r="471" spans="1:7" s="23" customFormat="1" ht="27" customHeight="1">
      <c r="A471" s="76"/>
      <c r="B471" s="82" t="s">
        <v>280</v>
      </c>
      <c r="C471" s="63"/>
      <c r="D471" s="63"/>
      <c r="E471" s="64"/>
      <c r="F471" s="63"/>
      <c r="G471" s="156">
        <v>600</v>
      </c>
    </row>
    <row r="472" spans="1:7" s="12" customFormat="1" ht="15" customHeight="1">
      <c r="A472" s="36">
        <v>9</v>
      </c>
      <c r="B472" s="37" t="s">
        <v>145</v>
      </c>
      <c r="C472" s="57" t="s">
        <v>146</v>
      </c>
      <c r="D472" s="57"/>
      <c r="E472" s="38"/>
      <c r="F472" s="57"/>
      <c r="G472" s="39">
        <f>G473+G498</f>
        <v>55330.563519999996</v>
      </c>
    </row>
    <row r="473" spans="1:7" s="23" customFormat="1" ht="15.75">
      <c r="A473" s="61"/>
      <c r="B473" s="62" t="s">
        <v>7</v>
      </c>
      <c r="C473" s="63" t="s">
        <v>146</v>
      </c>
      <c r="D473" s="63" t="s">
        <v>8</v>
      </c>
      <c r="E473" s="64"/>
      <c r="F473" s="63"/>
      <c r="G473" s="84">
        <f>G474+G484</f>
        <v>54199.563519999996</v>
      </c>
    </row>
    <row r="474" spans="1:7" s="23" customFormat="1" ht="31.5">
      <c r="A474" s="61"/>
      <c r="B474" s="62" t="s">
        <v>31</v>
      </c>
      <c r="C474" s="63" t="s">
        <v>146</v>
      </c>
      <c r="D474" s="63" t="s">
        <v>32</v>
      </c>
      <c r="E474" s="64" t="s">
        <v>15</v>
      </c>
      <c r="F474" s="63" t="s">
        <v>15</v>
      </c>
      <c r="G474" s="84">
        <f>G478+G475</f>
        <v>25177.318629999998</v>
      </c>
    </row>
    <row r="475" spans="1:7" s="23" customFormat="1" ht="31.5">
      <c r="A475" s="61"/>
      <c r="B475" s="41" t="s">
        <v>332</v>
      </c>
      <c r="C475" s="63" t="s">
        <v>146</v>
      </c>
      <c r="D475" s="63" t="s">
        <v>32</v>
      </c>
      <c r="E475" s="43" t="s">
        <v>333</v>
      </c>
      <c r="F475" s="42"/>
      <c r="G475" s="84">
        <f>G476</f>
        <v>35.1</v>
      </c>
    </row>
    <row r="476" spans="1:7" s="23" customFormat="1" ht="63">
      <c r="A476" s="61"/>
      <c r="B476" s="49" t="s">
        <v>343</v>
      </c>
      <c r="C476" s="63" t="s">
        <v>146</v>
      </c>
      <c r="D476" s="63" t="s">
        <v>32</v>
      </c>
      <c r="E476" s="43" t="s">
        <v>334</v>
      </c>
      <c r="F476" s="42"/>
      <c r="G476" s="84">
        <f>G477</f>
        <v>35.1</v>
      </c>
    </row>
    <row r="477" spans="1:7" s="23" customFormat="1" ht="15.75">
      <c r="A477" s="61"/>
      <c r="B477" s="41" t="s">
        <v>337</v>
      </c>
      <c r="C477" s="63" t="s">
        <v>146</v>
      </c>
      <c r="D477" s="63" t="s">
        <v>32</v>
      </c>
      <c r="E477" s="43" t="s">
        <v>334</v>
      </c>
      <c r="F477" s="42" t="s">
        <v>18</v>
      </c>
      <c r="G477" s="84">
        <f>25+10.1</f>
        <v>35.1</v>
      </c>
    </row>
    <row r="478" spans="1:7" s="23" customFormat="1" ht="15.75">
      <c r="A478" s="61"/>
      <c r="B478" s="62" t="s">
        <v>9</v>
      </c>
      <c r="C478" s="63" t="s">
        <v>146</v>
      </c>
      <c r="D478" s="63" t="s">
        <v>32</v>
      </c>
      <c r="E478" s="64" t="s">
        <v>10</v>
      </c>
      <c r="F478" s="63"/>
      <c r="G478" s="84">
        <f>G479</f>
        <v>25142.21863</v>
      </c>
    </row>
    <row r="479" spans="1:7" s="23" customFormat="1" ht="47.25">
      <c r="A479" s="61"/>
      <c r="B479" s="62" t="s">
        <v>16</v>
      </c>
      <c r="C479" s="63" t="s">
        <v>146</v>
      </c>
      <c r="D479" s="63" t="s">
        <v>32</v>
      </c>
      <c r="E479" s="64" t="s">
        <v>17</v>
      </c>
      <c r="F479" s="63"/>
      <c r="G479" s="84">
        <f>G480+G482+G483</f>
        <v>25142.21863</v>
      </c>
    </row>
    <row r="480" spans="1:7" s="23" customFormat="1" ht="47.25">
      <c r="A480" s="61"/>
      <c r="B480" s="62" t="s">
        <v>11</v>
      </c>
      <c r="C480" s="63" t="s">
        <v>146</v>
      </c>
      <c r="D480" s="63" t="s">
        <v>32</v>
      </c>
      <c r="E480" s="64" t="s">
        <v>17</v>
      </c>
      <c r="F480" s="63" t="s">
        <v>12</v>
      </c>
      <c r="G480" s="84">
        <f>13884.45448+990+4193.10525-1809.6-546.4992+647.39805+462.78434+2950+519.01576-20+600.98424+1635-250+423.92</f>
        <v>23680.56292</v>
      </c>
    </row>
    <row r="481" spans="1:7" s="23" customFormat="1" ht="15.75">
      <c r="A481" s="61"/>
      <c r="B481" s="89" t="s">
        <v>264</v>
      </c>
      <c r="C481" s="97"/>
      <c r="D481" s="97"/>
      <c r="E481" s="98"/>
      <c r="F481" s="97"/>
      <c r="G481" s="156">
        <f>2950+519.01576+600.98424</f>
        <v>4070</v>
      </c>
    </row>
    <row r="482" spans="1:7" s="23" customFormat="1" ht="15.75">
      <c r="A482" s="61"/>
      <c r="B482" s="41" t="s">
        <v>337</v>
      </c>
      <c r="C482" s="63" t="s">
        <v>146</v>
      </c>
      <c r="D482" s="63" t="s">
        <v>32</v>
      </c>
      <c r="E482" s="64" t="s">
        <v>17</v>
      </c>
      <c r="F482" s="63" t="s">
        <v>18</v>
      </c>
      <c r="G482" s="84">
        <f>1803.2-10.1-90-200-63.44429</f>
        <v>1439.6557100000002</v>
      </c>
    </row>
    <row r="483" spans="1:7" s="23" customFormat="1" ht="15.75">
      <c r="A483" s="61"/>
      <c r="B483" s="62" t="s">
        <v>19</v>
      </c>
      <c r="C483" s="63" t="s">
        <v>146</v>
      </c>
      <c r="D483" s="63" t="s">
        <v>32</v>
      </c>
      <c r="E483" s="64" t="s">
        <v>17</v>
      </c>
      <c r="F483" s="63" t="s">
        <v>20</v>
      </c>
      <c r="G483" s="84">
        <f>2+20</f>
        <v>22</v>
      </c>
    </row>
    <row r="484" spans="1:7" s="23" customFormat="1" ht="15.75">
      <c r="A484" s="61"/>
      <c r="B484" s="62" t="s">
        <v>39</v>
      </c>
      <c r="C484" s="63" t="s">
        <v>146</v>
      </c>
      <c r="D484" s="63" t="s">
        <v>40</v>
      </c>
      <c r="E484" s="64"/>
      <c r="F484" s="63"/>
      <c r="G484" s="84">
        <f>G485+G492+G489</f>
        <v>29022.24489</v>
      </c>
    </row>
    <row r="485" spans="1:7" s="24" customFormat="1" ht="31.5">
      <c r="A485" s="61"/>
      <c r="B485" s="62" t="s">
        <v>238</v>
      </c>
      <c r="C485" s="63" t="s">
        <v>146</v>
      </c>
      <c r="D485" s="63" t="s">
        <v>40</v>
      </c>
      <c r="E485" s="64" t="s">
        <v>99</v>
      </c>
      <c r="F485" s="63"/>
      <c r="G485" s="84">
        <f>G486</f>
        <v>200</v>
      </c>
    </row>
    <row r="486" spans="1:7" s="24" customFormat="1" ht="31.5">
      <c r="A486" s="61"/>
      <c r="B486" s="67" t="s">
        <v>202</v>
      </c>
      <c r="C486" s="63" t="s">
        <v>146</v>
      </c>
      <c r="D486" s="63" t="s">
        <v>40</v>
      </c>
      <c r="E486" s="64" t="s">
        <v>203</v>
      </c>
      <c r="F486" s="63"/>
      <c r="G486" s="84">
        <f>G487</f>
        <v>200</v>
      </c>
    </row>
    <row r="487" spans="1:7" s="24" customFormat="1" ht="63">
      <c r="A487" s="61"/>
      <c r="B487" s="67" t="s">
        <v>100</v>
      </c>
      <c r="C487" s="63" t="s">
        <v>146</v>
      </c>
      <c r="D487" s="63" t="s">
        <v>40</v>
      </c>
      <c r="E487" s="64" t="s">
        <v>204</v>
      </c>
      <c r="F487" s="99"/>
      <c r="G487" s="84">
        <f>G488</f>
        <v>200</v>
      </c>
    </row>
    <row r="488" spans="1:7" s="24" customFormat="1" ht="15.75">
      <c r="A488" s="61"/>
      <c r="B488" s="41" t="s">
        <v>337</v>
      </c>
      <c r="C488" s="63" t="s">
        <v>146</v>
      </c>
      <c r="D488" s="63" t="s">
        <v>40</v>
      </c>
      <c r="E488" s="64" t="s">
        <v>204</v>
      </c>
      <c r="F488" s="63" t="s">
        <v>18</v>
      </c>
      <c r="G488" s="84">
        <f>2760.552-2560.552</f>
        <v>200</v>
      </c>
    </row>
    <row r="489" spans="1:7" s="24" customFormat="1" ht="31.5">
      <c r="A489" s="61"/>
      <c r="B489" s="41" t="s">
        <v>332</v>
      </c>
      <c r="C489" s="63" t="s">
        <v>146</v>
      </c>
      <c r="D489" s="63" t="s">
        <v>40</v>
      </c>
      <c r="E489" s="43" t="s">
        <v>333</v>
      </c>
      <c r="F489" s="63"/>
      <c r="G489" s="84">
        <f>G490</f>
        <v>17.55</v>
      </c>
    </row>
    <row r="490" spans="1:7" s="24" customFormat="1" ht="63">
      <c r="A490" s="61"/>
      <c r="B490" s="49" t="s">
        <v>343</v>
      </c>
      <c r="C490" s="63" t="s">
        <v>146</v>
      </c>
      <c r="D490" s="63" t="s">
        <v>40</v>
      </c>
      <c r="E490" s="64" t="s">
        <v>334</v>
      </c>
      <c r="F490" s="63"/>
      <c r="G490" s="84">
        <f>G491</f>
        <v>17.55</v>
      </c>
    </row>
    <row r="491" spans="1:7" s="24" customFormat="1" ht="15.75">
      <c r="A491" s="61"/>
      <c r="B491" s="41" t="s">
        <v>337</v>
      </c>
      <c r="C491" s="63" t="s">
        <v>146</v>
      </c>
      <c r="D491" s="63" t="s">
        <v>40</v>
      </c>
      <c r="E491" s="64" t="s">
        <v>334</v>
      </c>
      <c r="F491" s="63" t="s">
        <v>18</v>
      </c>
      <c r="G491" s="84">
        <v>17.55</v>
      </c>
    </row>
    <row r="492" spans="1:7" s="24" customFormat="1" ht="15" customHeight="1">
      <c r="A492" s="61"/>
      <c r="B492" s="62" t="s">
        <v>9</v>
      </c>
      <c r="C492" s="63" t="s">
        <v>146</v>
      </c>
      <c r="D492" s="63" t="s">
        <v>40</v>
      </c>
      <c r="E492" s="64" t="s">
        <v>10</v>
      </c>
      <c r="F492" s="63"/>
      <c r="G492" s="84">
        <f>G493</f>
        <v>28804.694890000002</v>
      </c>
    </row>
    <row r="493" spans="1:7" s="24" customFormat="1" ht="47.25">
      <c r="A493" s="61"/>
      <c r="B493" s="62" t="s">
        <v>153</v>
      </c>
      <c r="C493" s="63" t="s">
        <v>146</v>
      </c>
      <c r="D493" s="63" t="s">
        <v>40</v>
      </c>
      <c r="E493" s="64" t="s">
        <v>154</v>
      </c>
      <c r="F493" s="63"/>
      <c r="G493" s="84">
        <f>G494+G495+G497</f>
        <v>28804.694890000002</v>
      </c>
    </row>
    <row r="494" spans="1:7" s="24" customFormat="1" ht="30.75" customHeight="1">
      <c r="A494" s="61"/>
      <c r="B494" s="62" t="s">
        <v>11</v>
      </c>
      <c r="C494" s="63" t="s">
        <v>146</v>
      </c>
      <c r="D494" s="63" t="s">
        <v>40</v>
      </c>
      <c r="E494" s="64" t="s">
        <v>154</v>
      </c>
      <c r="F494" s="63" t="s">
        <v>12</v>
      </c>
      <c r="G494" s="84">
        <f>9807.7304+720+2961.93458+2128.2404+642.7286+1310.0994+395.65004-20+1414.402+443.373</f>
        <v>19804.15842</v>
      </c>
    </row>
    <row r="495" spans="1:7" s="24" customFormat="1" ht="15" customHeight="1">
      <c r="A495" s="61"/>
      <c r="B495" s="41" t="s">
        <v>337</v>
      </c>
      <c r="C495" s="63" t="s">
        <v>146</v>
      </c>
      <c r="D495" s="63" t="s">
        <v>40</v>
      </c>
      <c r="E495" s="64" t="s">
        <v>154</v>
      </c>
      <c r="F495" s="63" t="s">
        <v>18</v>
      </c>
      <c r="G495" s="84">
        <f>7136.09734+2248.99794-87.55+70+70-70-217.2811-200+59.44429-200</f>
        <v>8809.708470000001</v>
      </c>
    </row>
    <row r="496" spans="1:7" s="24" customFormat="1" ht="27" customHeight="1">
      <c r="A496" s="61"/>
      <c r="B496" s="82" t="s">
        <v>280</v>
      </c>
      <c r="C496" s="63"/>
      <c r="D496" s="63"/>
      <c r="E496" s="64"/>
      <c r="F496" s="63"/>
      <c r="G496" s="156">
        <f>210+1500+70-70</f>
        <v>1710</v>
      </c>
    </row>
    <row r="497" spans="1:7" s="24" customFormat="1" ht="15" customHeight="1">
      <c r="A497" s="61"/>
      <c r="B497" s="62" t="s">
        <v>19</v>
      </c>
      <c r="C497" s="63" t="s">
        <v>146</v>
      </c>
      <c r="D497" s="63" t="s">
        <v>40</v>
      </c>
      <c r="E497" s="64" t="s">
        <v>154</v>
      </c>
      <c r="F497" s="63" t="s">
        <v>20</v>
      </c>
      <c r="G497" s="84">
        <f>168.828+2+20</f>
        <v>190.828</v>
      </c>
    </row>
    <row r="498" spans="1:7" s="22" customFormat="1" ht="15" customHeight="1">
      <c r="A498" s="65"/>
      <c r="B498" s="62" t="s">
        <v>148</v>
      </c>
      <c r="C498" s="63" t="s">
        <v>146</v>
      </c>
      <c r="D498" s="63" t="s">
        <v>149</v>
      </c>
      <c r="E498" s="64"/>
      <c r="F498" s="63"/>
      <c r="G498" s="84">
        <f>G499+G503</f>
        <v>1131</v>
      </c>
    </row>
    <row r="499" spans="1:7" s="23" customFormat="1" ht="31.5">
      <c r="A499" s="77"/>
      <c r="B499" s="68" t="s">
        <v>239</v>
      </c>
      <c r="C499" s="63" t="s">
        <v>146</v>
      </c>
      <c r="D499" s="63" t="s">
        <v>240</v>
      </c>
      <c r="E499" s="64"/>
      <c r="F499" s="63"/>
      <c r="G499" s="84">
        <f>G500</f>
        <v>921</v>
      </c>
    </row>
    <row r="500" spans="1:7" s="26" customFormat="1" ht="47.25">
      <c r="A500" s="77"/>
      <c r="B500" s="68" t="s">
        <v>205</v>
      </c>
      <c r="C500" s="63" t="s">
        <v>146</v>
      </c>
      <c r="D500" s="63" t="s">
        <v>240</v>
      </c>
      <c r="E500" s="64" t="s">
        <v>150</v>
      </c>
      <c r="F500" s="63"/>
      <c r="G500" s="84">
        <f>G501</f>
        <v>921</v>
      </c>
    </row>
    <row r="501" spans="1:7" s="27" customFormat="1" ht="78.75">
      <c r="A501" s="61"/>
      <c r="B501" s="68" t="s">
        <v>151</v>
      </c>
      <c r="C501" s="63" t="s">
        <v>146</v>
      </c>
      <c r="D501" s="63" t="s">
        <v>240</v>
      </c>
      <c r="E501" s="64" t="s">
        <v>152</v>
      </c>
      <c r="F501" s="63"/>
      <c r="G501" s="84">
        <f>G502</f>
        <v>921</v>
      </c>
    </row>
    <row r="502" spans="1:7" s="27" customFormat="1" ht="15" customHeight="1">
      <c r="A502" s="61"/>
      <c r="B502" s="41" t="s">
        <v>337</v>
      </c>
      <c r="C502" s="63" t="s">
        <v>146</v>
      </c>
      <c r="D502" s="63" t="s">
        <v>240</v>
      </c>
      <c r="E502" s="64" t="s">
        <v>152</v>
      </c>
      <c r="F502" s="63" t="s">
        <v>18</v>
      </c>
      <c r="G502" s="84">
        <v>921</v>
      </c>
    </row>
    <row r="503" spans="1:7" s="27" customFormat="1" ht="15" customHeight="1">
      <c r="A503" s="61"/>
      <c r="B503" s="41" t="s">
        <v>361</v>
      </c>
      <c r="C503" s="63" t="s">
        <v>146</v>
      </c>
      <c r="D503" s="63" t="s">
        <v>360</v>
      </c>
      <c r="E503" s="64"/>
      <c r="F503" s="63"/>
      <c r="G503" s="84">
        <f>G504</f>
        <v>210</v>
      </c>
    </row>
    <row r="504" spans="1:7" s="27" customFormat="1" ht="31.5">
      <c r="A504" s="61"/>
      <c r="B504" s="41" t="s">
        <v>238</v>
      </c>
      <c r="C504" s="63" t="s">
        <v>146</v>
      </c>
      <c r="D504" s="63" t="s">
        <v>360</v>
      </c>
      <c r="E504" s="64" t="s">
        <v>99</v>
      </c>
      <c r="F504" s="63"/>
      <c r="G504" s="84">
        <f>G505</f>
        <v>210</v>
      </c>
    </row>
    <row r="505" spans="1:7" s="27" customFormat="1" ht="31.5">
      <c r="A505" s="61"/>
      <c r="B505" s="41" t="s">
        <v>202</v>
      </c>
      <c r="C505" s="63" t="s">
        <v>146</v>
      </c>
      <c r="D505" s="63" t="s">
        <v>360</v>
      </c>
      <c r="E505" s="64" t="s">
        <v>203</v>
      </c>
      <c r="F505" s="63"/>
      <c r="G505" s="84">
        <f>SUM(G506+G508)</f>
        <v>210</v>
      </c>
    </row>
    <row r="506" spans="1:7" s="27" customFormat="1" ht="47.25">
      <c r="A506" s="61"/>
      <c r="B506" s="41" t="s">
        <v>363</v>
      </c>
      <c r="C506" s="63" t="s">
        <v>146</v>
      </c>
      <c r="D506" s="63" t="s">
        <v>360</v>
      </c>
      <c r="E506" s="64" t="s">
        <v>243</v>
      </c>
      <c r="F506" s="63"/>
      <c r="G506" s="84">
        <f>G507</f>
        <v>105</v>
      </c>
    </row>
    <row r="507" spans="1:7" s="27" customFormat="1" ht="47.25">
      <c r="A507" s="61"/>
      <c r="B507" s="62" t="s">
        <v>11</v>
      </c>
      <c r="C507" s="63" t="s">
        <v>146</v>
      </c>
      <c r="D507" s="63" t="s">
        <v>360</v>
      </c>
      <c r="E507" s="64" t="s">
        <v>243</v>
      </c>
      <c r="F507" s="63" t="s">
        <v>12</v>
      </c>
      <c r="G507" s="84">
        <v>105</v>
      </c>
    </row>
    <row r="508" spans="1:7" s="27" customFormat="1" ht="63">
      <c r="A508" s="61"/>
      <c r="B508" s="49" t="s">
        <v>278</v>
      </c>
      <c r="C508" s="63" t="s">
        <v>146</v>
      </c>
      <c r="D508" s="63" t="s">
        <v>360</v>
      </c>
      <c r="E508" s="64" t="s">
        <v>362</v>
      </c>
      <c r="F508" s="63"/>
      <c r="G508" s="84">
        <f>G509</f>
        <v>105</v>
      </c>
    </row>
    <row r="509" spans="1:7" s="27" customFormat="1" ht="47.25">
      <c r="A509" s="61"/>
      <c r="B509" s="62" t="s">
        <v>11</v>
      </c>
      <c r="C509" s="63" t="s">
        <v>146</v>
      </c>
      <c r="D509" s="63" t="s">
        <v>360</v>
      </c>
      <c r="E509" s="64" t="s">
        <v>362</v>
      </c>
      <c r="F509" s="63" t="s">
        <v>12</v>
      </c>
      <c r="G509" s="84">
        <v>105</v>
      </c>
    </row>
    <row r="510" spans="1:8" ht="15" customHeight="1">
      <c r="A510" s="36"/>
      <c r="B510" s="177" t="s">
        <v>155</v>
      </c>
      <c r="C510" s="177"/>
      <c r="D510" s="177"/>
      <c r="E510" s="177"/>
      <c r="F510" s="177"/>
      <c r="G510" s="78">
        <f>G18+G30+G46+G92+G115+G290+G358+G401+G472</f>
        <v>2040511.0314400003</v>
      </c>
      <c r="H510" s="159" t="s">
        <v>370</v>
      </c>
    </row>
    <row r="512" spans="1:7" s="86" customFormat="1" ht="15.75">
      <c r="A512" s="85"/>
      <c r="B512" s="106"/>
      <c r="C512" s="100"/>
      <c r="D512" s="101"/>
      <c r="E512" s="102"/>
      <c r="F512" s="101"/>
      <c r="G512" s="103"/>
    </row>
    <row r="513" spans="1:7" s="86" customFormat="1" ht="15.75">
      <c r="A513" s="85"/>
      <c r="B513" s="107" t="s">
        <v>156</v>
      </c>
      <c r="C513" s="100"/>
      <c r="D513" s="100"/>
      <c r="E513" s="102"/>
      <c r="F513" s="100"/>
      <c r="G513" s="103" t="e">
        <f>#REF!+G22+G26+G34+G39+G53+G58+G96+G247+G297+G362+G479+G407</f>
        <v>#REF!</v>
      </c>
    </row>
    <row r="514" spans="1:7" s="86" customFormat="1" ht="15.75">
      <c r="A514" s="85"/>
      <c r="B514" s="107" t="s">
        <v>157</v>
      </c>
      <c r="C514" s="100"/>
      <c r="D514" s="100"/>
      <c r="E514" s="102"/>
      <c r="F514" s="100"/>
      <c r="G514" s="103">
        <v>194107</v>
      </c>
    </row>
    <row r="515" spans="1:7" s="86" customFormat="1" ht="15.75">
      <c r="A515" s="85"/>
      <c r="B515" s="107" t="s">
        <v>158</v>
      </c>
      <c r="C515" s="100"/>
      <c r="D515" s="100"/>
      <c r="E515" s="102"/>
      <c r="F515" s="100"/>
      <c r="G515" s="103" t="e">
        <f>G514-G513</f>
        <v>#REF!</v>
      </c>
    </row>
    <row r="516" spans="1:10" s="87" customFormat="1" ht="20.25">
      <c r="A516" s="88"/>
      <c r="B516" s="107" t="s">
        <v>159</v>
      </c>
      <c r="C516" s="101"/>
      <c r="D516" s="101"/>
      <c r="E516" s="104"/>
      <c r="F516" s="101"/>
      <c r="G516" s="103">
        <f>'[1]Приложение 3'!$C$102</f>
        <v>35526</v>
      </c>
      <c r="H516" s="178"/>
      <c r="I516" s="178"/>
      <c r="J516" s="178"/>
    </row>
    <row r="517" spans="1:7" s="87" customFormat="1" ht="20.25">
      <c r="A517" s="88"/>
      <c r="B517" s="107" t="s">
        <v>160</v>
      </c>
      <c r="C517" s="101"/>
      <c r="D517" s="101"/>
      <c r="E517" s="104"/>
      <c r="F517" s="101"/>
      <c r="G517" s="103"/>
    </row>
    <row r="518" spans="1:7" s="87" customFormat="1" ht="20.25">
      <c r="A518" s="88"/>
      <c r="B518" s="107" t="s">
        <v>161</v>
      </c>
      <c r="C518" s="101"/>
      <c r="D518" s="101"/>
      <c r="E518" s="104"/>
      <c r="F518" s="101"/>
      <c r="G518" s="103"/>
    </row>
    <row r="519" spans="1:7" s="87" customFormat="1" ht="18.75" customHeight="1">
      <c r="A519" s="88"/>
      <c r="B519" s="107" t="s">
        <v>162</v>
      </c>
      <c r="C519" s="101"/>
      <c r="D519" s="101"/>
      <c r="E519" s="104"/>
      <c r="F519" s="101"/>
      <c r="G519" s="103"/>
    </row>
    <row r="520" spans="1:7" s="86" customFormat="1" ht="15.75">
      <c r="A520" s="85"/>
      <c r="B520" s="107" t="s">
        <v>163</v>
      </c>
      <c r="C520" s="100"/>
      <c r="D520" s="100"/>
      <c r="E520" s="102"/>
      <c r="F520" s="100"/>
      <c r="G520" s="103"/>
    </row>
    <row r="521" spans="1:7" s="86" customFormat="1" ht="15.75">
      <c r="A521" s="85"/>
      <c r="B521" s="107" t="s">
        <v>164</v>
      </c>
      <c r="C521" s="100"/>
      <c r="D521" s="100"/>
      <c r="E521" s="102"/>
      <c r="F521" s="100"/>
      <c r="G521" s="103"/>
    </row>
  </sheetData>
  <sheetProtection/>
  <autoFilter ref="A17:G510"/>
  <mergeCells count="9">
    <mergeCell ref="B2:G6"/>
    <mergeCell ref="A14:G14"/>
    <mergeCell ref="C16:F16"/>
    <mergeCell ref="B510:F510"/>
    <mergeCell ref="H516:J516"/>
    <mergeCell ref="A16:A17"/>
    <mergeCell ref="B16:B17"/>
    <mergeCell ref="G16:G17"/>
    <mergeCell ref="B8:G11"/>
  </mergeCells>
  <printOptions/>
  <pageMargins left="0.5905511811023623" right="0.1968503937007874" top="0.3937007874015748" bottom="0.31496062992125984" header="0.5511811023622047" footer="0.2755905511811024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1"/>
  <sheetViews>
    <sheetView tabSelected="1" zoomScale="110" zoomScaleNormal="110" zoomScalePageLayoutView="0" workbookViewId="0" topLeftCell="A339">
      <selection activeCell="A1" sqref="A1:H351"/>
    </sheetView>
  </sheetViews>
  <sheetFormatPr defaultColWidth="4.25390625" defaultRowHeight="12.75"/>
  <cols>
    <col min="1" max="1" width="6.25390625" style="109" bestFit="1" customWidth="1"/>
    <col min="2" max="2" width="92.75390625" style="110" customWidth="1"/>
    <col min="3" max="3" width="6.625" style="111" customWidth="1"/>
    <col min="4" max="4" width="10.375" style="111" customWidth="1"/>
    <col min="5" max="5" width="19.875" style="111" customWidth="1"/>
    <col min="6" max="6" width="9.25390625" style="111" customWidth="1"/>
    <col min="7" max="7" width="23.875" style="112" customWidth="1"/>
    <col min="8" max="8" width="2.75390625" style="7" bestFit="1" customWidth="1"/>
    <col min="9" max="16384" width="4.25390625" style="7" customWidth="1"/>
  </cols>
  <sheetData>
    <row r="1" ht="10.5" customHeight="1"/>
    <row r="2" spans="2:7" ht="19.5" customHeight="1">
      <c r="B2" s="183" t="s">
        <v>422</v>
      </c>
      <c r="C2" s="183"/>
      <c r="D2" s="183"/>
      <c r="E2" s="183"/>
      <c r="F2" s="183"/>
      <c r="G2" s="183"/>
    </row>
    <row r="3" spans="2:7" ht="12.75" customHeight="1">
      <c r="B3" s="183"/>
      <c r="C3" s="183"/>
      <c r="D3" s="183"/>
      <c r="E3" s="183"/>
      <c r="F3" s="183"/>
      <c r="G3" s="183"/>
    </row>
    <row r="4" spans="2:7" ht="45.75" customHeight="1">
      <c r="B4" s="183"/>
      <c r="C4" s="183"/>
      <c r="D4" s="183"/>
      <c r="E4" s="183"/>
      <c r="F4" s="183"/>
      <c r="G4" s="183"/>
    </row>
    <row r="5" ht="10.5" customHeight="1"/>
    <row r="6" ht="15.75" hidden="1"/>
    <row r="7" spans="2:7" ht="6" customHeight="1">
      <c r="B7" s="184" t="s">
        <v>369</v>
      </c>
      <c r="C7" s="184"/>
      <c r="D7" s="184"/>
      <c r="E7" s="184"/>
      <c r="F7" s="184"/>
      <c r="G7" s="184"/>
    </row>
    <row r="8" spans="1:7" ht="15" customHeight="1">
      <c r="A8" s="110"/>
      <c r="B8" s="184"/>
      <c r="C8" s="184"/>
      <c r="D8" s="184"/>
      <c r="E8" s="184"/>
      <c r="F8" s="184"/>
      <c r="G8" s="184"/>
    </row>
    <row r="9" spans="1:7" ht="15" customHeight="1">
      <c r="A9" s="110"/>
      <c r="B9" s="184"/>
      <c r="C9" s="184"/>
      <c r="D9" s="184"/>
      <c r="E9" s="184"/>
      <c r="F9" s="184"/>
      <c r="G9" s="184"/>
    </row>
    <row r="10" spans="1:7" ht="15" customHeight="1">
      <c r="A10" s="110"/>
      <c r="B10" s="184"/>
      <c r="C10" s="184"/>
      <c r="D10" s="184"/>
      <c r="E10" s="184"/>
      <c r="F10" s="184"/>
      <c r="G10" s="184"/>
    </row>
    <row r="11" spans="1:7" ht="26.25" customHeight="1">
      <c r="A11" s="110"/>
      <c r="B11" s="184"/>
      <c r="C11" s="184"/>
      <c r="D11" s="184"/>
      <c r="E11" s="184"/>
      <c r="F11" s="184"/>
      <c r="G11" s="184"/>
    </row>
    <row r="12" spans="1:6" ht="51" customHeight="1">
      <c r="A12" s="110"/>
      <c r="C12" s="113"/>
      <c r="D12" s="113"/>
      <c r="E12" s="113"/>
      <c r="F12" s="113"/>
    </row>
    <row r="13" spans="1:7" s="1" customFormat="1" ht="33" customHeight="1">
      <c r="A13" s="182" t="s">
        <v>335</v>
      </c>
      <c r="B13" s="182"/>
      <c r="C13" s="182"/>
      <c r="D13" s="182"/>
      <c r="E13" s="182"/>
      <c r="F13" s="182"/>
      <c r="G13" s="182"/>
    </row>
    <row r="14" spans="1:7" ht="15.75">
      <c r="A14" s="114"/>
      <c r="B14" s="115"/>
      <c r="C14" s="116"/>
      <c r="D14" s="116"/>
      <c r="E14" s="116"/>
      <c r="F14" s="116"/>
      <c r="G14" s="117" t="s">
        <v>289</v>
      </c>
    </row>
    <row r="15" spans="1:7" s="2" customFormat="1" ht="74.25" customHeight="1">
      <c r="A15" s="118" t="s">
        <v>0</v>
      </c>
      <c r="B15" s="119" t="s">
        <v>165</v>
      </c>
      <c r="C15" s="120" t="s">
        <v>166</v>
      </c>
      <c r="D15" s="119" t="s">
        <v>167</v>
      </c>
      <c r="E15" s="119" t="s">
        <v>4</v>
      </c>
      <c r="F15" s="121" t="s">
        <v>168</v>
      </c>
      <c r="G15" s="108" t="s">
        <v>286</v>
      </c>
    </row>
    <row r="16" spans="1:7" s="3" customFormat="1" ht="19.5" customHeight="1">
      <c r="A16" s="122">
        <v>1</v>
      </c>
      <c r="B16" s="123" t="s">
        <v>169</v>
      </c>
      <c r="C16" s="122" t="s">
        <v>170</v>
      </c>
      <c r="D16" s="123">
        <v>4</v>
      </c>
      <c r="E16" s="123">
        <v>5</v>
      </c>
      <c r="F16" s="123">
        <v>6</v>
      </c>
      <c r="G16" s="124">
        <v>7</v>
      </c>
    </row>
    <row r="17" spans="1:7" s="4" customFormat="1" ht="15.75">
      <c r="A17" s="125">
        <v>1</v>
      </c>
      <c r="B17" s="126" t="s">
        <v>7</v>
      </c>
      <c r="C17" s="127" t="s">
        <v>8</v>
      </c>
      <c r="D17" s="127"/>
      <c r="E17" s="127"/>
      <c r="F17" s="127"/>
      <c r="G17" s="128">
        <f>G18+G28+G42+G55+G59</f>
        <v>248309.69037</v>
      </c>
    </row>
    <row r="18" spans="1:7" ht="31.5">
      <c r="A18" s="129"/>
      <c r="B18" s="130" t="s">
        <v>13</v>
      </c>
      <c r="C18" s="131" t="s">
        <v>8</v>
      </c>
      <c r="D18" s="131" t="s">
        <v>149</v>
      </c>
      <c r="E18" s="131"/>
      <c r="F18" s="131"/>
      <c r="G18" s="132">
        <f>G19</f>
        <v>32386.470119999998</v>
      </c>
    </row>
    <row r="19" spans="1:7" ht="15.75">
      <c r="A19" s="129"/>
      <c r="B19" s="130" t="s">
        <v>9</v>
      </c>
      <c r="C19" s="131" t="s">
        <v>8</v>
      </c>
      <c r="D19" s="131" t="s">
        <v>149</v>
      </c>
      <c r="E19" s="133" t="s">
        <v>10</v>
      </c>
      <c r="F19" s="131"/>
      <c r="G19" s="132">
        <f>G20+G24+G26</f>
        <v>32386.470119999998</v>
      </c>
    </row>
    <row r="20" spans="1:7" ht="31.5" customHeight="1">
      <c r="A20" s="129"/>
      <c r="B20" s="130" t="s">
        <v>16</v>
      </c>
      <c r="C20" s="131" t="s">
        <v>8</v>
      </c>
      <c r="D20" s="131" t="s">
        <v>149</v>
      </c>
      <c r="E20" s="131" t="s">
        <v>17</v>
      </c>
      <c r="F20" s="131"/>
      <c r="G20" s="132">
        <f>SUM(G21:G23)</f>
        <v>24208.23725</v>
      </c>
    </row>
    <row r="21" spans="1:7" ht="47.25">
      <c r="A21" s="129"/>
      <c r="B21" s="130" t="s">
        <v>11</v>
      </c>
      <c r="C21" s="131" t="s">
        <v>8</v>
      </c>
      <c r="D21" s="131" t="s">
        <v>149</v>
      </c>
      <c r="E21" s="131" t="s">
        <v>17</v>
      </c>
      <c r="F21" s="131" t="s">
        <v>12</v>
      </c>
      <c r="G21" s="132">
        <f>'прил 4'!G23</f>
        <v>19826.64465</v>
      </c>
    </row>
    <row r="22" spans="1:7" ht="15.75">
      <c r="A22" s="129"/>
      <c r="B22" s="41" t="s">
        <v>337</v>
      </c>
      <c r="C22" s="131" t="s">
        <v>8</v>
      </c>
      <c r="D22" s="131" t="s">
        <v>149</v>
      </c>
      <c r="E22" s="131" t="s">
        <v>17</v>
      </c>
      <c r="F22" s="131" t="s">
        <v>18</v>
      </c>
      <c r="G22" s="132">
        <f>'прил 4'!G24</f>
        <v>4361.5926</v>
      </c>
    </row>
    <row r="23" spans="1:7" ht="15.75">
      <c r="A23" s="129"/>
      <c r="B23" s="130" t="s">
        <v>19</v>
      </c>
      <c r="C23" s="131" t="s">
        <v>8</v>
      </c>
      <c r="D23" s="131" t="s">
        <v>149</v>
      </c>
      <c r="E23" s="131" t="s">
        <v>17</v>
      </c>
      <c r="F23" s="131" t="s">
        <v>20</v>
      </c>
      <c r="G23" s="132">
        <f>'прил 4'!G25</f>
        <v>20</v>
      </c>
    </row>
    <row r="24" spans="1:7" ht="15" customHeight="1">
      <c r="A24" s="129"/>
      <c r="B24" s="130" t="s">
        <v>172</v>
      </c>
      <c r="C24" s="131" t="s">
        <v>8</v>
      </c>
      <c r="D24" s="131" t="s">
        <v>149</v>
      </c>
      <c r="E24" s="133" t="s">
        <v>22</v>
      </c>
      <c r="F24" s="131"/>
      <c r="G24" s="132">
        <f>G25</f>
        <v>8103.23287</v>
      </c>
    </row>
    <row r="25" spans="1:7" ht="47.25">
      <c r="A25" s="129"/>
      <c r="B25" s="130" t="s">
        <v>11</v>
      </c>
      <c r="C25" s="131" t="s">
        <v>8</v>
      </c>
      <c r="D25" s="131" t="s">
        <v>149</v>
      </c>
      <c r="E25" s="133" t="s">
        <v>22</v>
      </c>
      <c r="F25" s="131" t="s">
        <v>12</v>
      </c>
      <c r="G25" s="132">
        <f>'прил 4'!G27</f>
        <v>8103.23287</v>
      </c>
    </row>
    <row r="26" spans="1:7" ht="15.75">
      <c r="A26" s="129"/>
      <c r="B26" s="41" t="s">
        <v>325</v>
      </c>
      <c r="C26" s="131" t="s">
        <v>8</v>
      </c>
      <c r="D26" s="131" t="s">
        <v>149</v>
      </c>
      <c r="E26" s="43" t="s">
        <v>299</v>
      </c>
      <c r="F26" s="42"/>
      <c r="G26" s="132">
        <f>G27</f>
        <v>75</v>
      </c>
    </row>
    <row r="27" spans="1:7" ht="15.75">
      <c r="A27" s="129"/>
      <c r="B27" s="41" t="s">
        <v>19</v>
      </c>
      <c r="C27" s="131" t="s">
        <v>8</v>
      </c>
      <c r="D27" s="131" t="s">
        <v>149</v>
      </c>
      <c r="E27" s="43" t="s">
        <v>299</v>
      </c>
      <c r="F27" s="42" t="s">
        <v>20</v>
      </c>
      <c r="G27" s="132">
        <f>'прил 4'!G29</f>
        <v>75</v>
      </c>
    </row>
    <row r="28" spans="1:7" ht="33" customHeight="1">
      <c r="A28" s="129"/>
      <c r="B28" s="130" t="s">
        <v>31</v>
      </c>
      <c r="C28" s="131" t="s">
        <v>8</v>
      </c>
      <c r="D28" s="131" t="s">
        <v>61</v>
      </c>
      <c r="E28" s="131"/>
      <c r="F28" s="131"/>
      <c r="G28" s="132">
        <f>G32+G29</f>
        <v>94994.80554999999</v>
      </c>
    </row>
    <row r="29" spans="1:7" ht="33" customHeight="1">
      <c r="A29" s="129"/>
      <c r="B29" s="41" t="s">
        <v>332</v>
      </c>
      <c r="C29" s="131" t="s">
        <v>8</v>
      </c>
      <c r="D29" s="131" t="s">
        <v>61</v>
      </c>
      <c r="E29" s="155" t="s">
        <v>333</v>
      </c>
      <c r="F29" s="131"/>
      <c r="G29" s="132">
        <f>G30</f>
        <v>92.1395</v>
      </c>
    </row>
    <row r="30" spans="1:7" ht="90" customHeight="1">
      <c r="A30" s="129"/>
      <c r="B30" s="49" t="s">
        <v>343</v>
      </c>
      <c r="C30" s="131" t="s">
        <v>8</v>
      </c>
      <c r="D30" s="131" t="s">
        <v>61</v>
      </c>
      <c r="E30" s="155" t="s">
        <v>334</v>
      </c>
      <c r="F30" s="150"/>
      <c r="G30" s="132">
        <f>G31</f>
        <v>92.1395</v>
      </c>
    </row>
    <row r="31" spans="1:7" ht="15.75">
      <c r="A31" s="129"/>
      <c r="B31" s="41" t="s">
        <v>337</v>
      </c>
      <c r="C31" s="131" t="s">
        <v>8</v>
      </c>
      <c r="D31" s="131" t="s">
        <v>61</v>
      </c>
      <c r="E31" s="155" t="s">
        <v>334</v>
      </c>
      <c r="F31" s="150" t="s">
        <v>18</v>
      </c>
      <c r="G31" s="132">
        <f>'прил 4'!G51+'прил 4'!G295+'прил 4'!G406+'прил 4'!G477</f>
        <v>92.1395</v>
      </c>
    </row>
    <row r="32" spans="1:7" ht="15.75">
      <c r="A32" s="129"/>
      <c r="B32" s="130" t="s">
        <v>9</v>
      </c>
      <c r="C32" s="131" t="s">
        <v>8</v>
      </c>
      <c r="D32" s="131" t="s">
        <v>61</v>
      </c>
      <c r="E32" s="133" t="s">
        <v>10</v>
      </c>
      <c r="F32" s="131"/>
      <c r="G32" s="132">
        <f>G33+G37+G40</f>
        <v>94902.66604999999</v>
      </c>
    </row>
    <row r="33" spans="1:7" ht="32.25" customHeight="1">
      <c r="A33" s="129"/>
      <c r="B33" s="130" t="s">
        <v>16</v>
      </c>
      <c r="C33" s="131" t="s">
        <v>8</v>
      </c>
      <c r="D33" s="131" t="s">
        <v>61</v>
      </c>
      <c r="E33" s="133" t="s">
        <v>17</v>
      </c>
      <c r="F33" s="131"/>
      <c r="G33" s="132">
        <f>SUM(G34:G36)</f>
        <v>83964.33361999999</v>
      </c>
    </row>
    <row r="34" spans="1:7" ht="47.25">
      <c r="A34" s="129"/>
      <c r="B34" s="130" t="s">
        <v>11</v>
      </c>
      <c r="C34" s="131" t="s">
        <v>8</v>
      </c>
      <c r="D34" s="131" t="s">
        <v>61</v>
      </c>
      <c r="E34" s="133" t="s">
        <v>17</v>
      </c>
      <c r="F34" s="131" t="s">
        <v>12</v>
      </c>
      <c r="G34" s="132">
        <f>'прил 4'!G54+'прил 4'!G298+'прил 4'!G363+'прил 4'!G409+'прил 4'!G480</f>
        <v>79288.4812</v>
      </c>
    </row>
    <row r="35" spans="1:7" ht="15.75">
      <c r="A35" s="129"/>
      <c r="B35" s="41" t="s">
        <v>337</v>
      </c>
      <c r="C35" s="131" t="s">
        <v>8</v>
      </c>
      <c r="D35" s="131" t="s">
        <v>61</v>
      </c>
      <c r="E35" s="133" t="s">
        <v>17</v>
      </c>
      <c r="F35" s="131" t="s">
        <v>18</v>
      </c>
      <c r="G35" s="132">
        <f>'прил 4'!G56+'прил 4'!G301+'прил 4'!G365+'прил 4'!G411+'прил 4'!G482</f>
        <v>3493.6017</v>
      </c>
    </row>
    <row r="36" spans="1:7" ht="15.75">
      <c r="A36" s="129"/>
      <c r="B36" s="130" t="s">
        <v>19</v>
      </c>
      <c r="C36" s="131" t="s">
        <v>8</v>
      </c>
      <c r="D36" s="131" t="s">
        <v>61</v>
      </c>
      <c r="E36" s="133" t="s">
        <v>17</v>
      </c>
      <c r="F36" s="131" t="s">
        <v>20</v>
      </c>
      <c r="G36" s="132">
        <f>'прил 4'!G303+'прил 4'!G412+'прил 4'!G366+'прил 4'!G483+'прил 4'!G57</f>
        <v>1182.25072</v>
      </c>
    </row>
    <row r="37" spans="1:7" ht="17.25" customHeight="1">
      <c r="A37" s="129"/>
      <c r="B37" s="130" t="s">
        <v>33</v>
      </c>
      <c r="C37" s="131" t="s">
        <v>8</v>
      </c>
      <c r="D37" s="131" t="s">
        <v>61</v>
      </c>
      <c r="E37" s="133" t="s">
        <v>34</v>
      </c>
      <c r="F37" s="131"/>
      <c r="G37" s="132">
        <f>G38+G39</f>
        <v>10688.332429999999</v>
      </c>
    </row>
    <row r="38" spans="1:7" ht="47.25">
      <c r="A38" s="129"/>
      <c r="B38" s="130" t="s">
        <v>11</v>
      </c>
      <c r="C38" s="131" t="s">
        <v>8</v>
      </c>
      <c r="D38" s="131" t="s">
        <v>61</v>
      </c>
      <c r="E38" s="133" t="s">
        <v>34</v>
      </c>
      <c r="F38" s="131" t="s">
        <v>12</v>
      </c>
      <c r="G38" s="132">
        <f>'прил 4'!G59</f>
        <v>10665.735429999999</v>
      </c>
    </row>
    <row r="39" spans="1:7" ht="15.75">
      <c r="A39" s="129"/>
      <c r="B39" s="41" t="s">
        <v>337</v>
      </c>
      <c r="C39" s="131" t="s">
        <v>8</v>
      </c>
      <c r="D39" s="131" t="s">
        <v>61</v>
      </c>
      <c r="E39" s="133" t="s">
        <v>34</v>
      </c>
      <c r="F39" s="131" t="s">
        <v>18</v>
      </c>
      <c r="G39" s="132">
        <f>'прил 4'!G61</f>
        <v>22.597</v>
      </c>
    </row>
    <row r="40" spans="1:7" ht="15.75">
      <c r="A40" s="129"/>
      <c r="B40" s="130" t="s">
        <v>327</v>
      </c>
      <c r="C40" s="131" t="s">
        <v>8</v>
      </c>
      <c r="D40" s="131" t="s">
        <v>61</v>
      </c>
      <c r="E40" s="133" t="s">
        <v>299</v>
      </c>
      <c r="F40" s="131"/>
      <c r="G40" s="132">
        <f>G41</f>
        <v>250</v>
      </c>
    </row>
    <row r="41" spans="1:7" ht="15.75">
      <c r="A41" s="129"/>
      <c r="B41" s="130" t="s">
        <v>19</v>
      </c>
      <c r="C41" s="131" t="s">
        <v>8</v>
      </c>
      <c r="D41" s="131" t="s">
        <v>61</v>
      </c>
      <c r="E41" s="133" t="s">
        <v>299</v>
      </c>
      <c r="F41" s="131" t="s">
        <v>20</v>
      </c>
      <c r="G41" s="132">
        <f>'прил 4'!G63</f>
        <v>250</v>
      </c>
    </row>
    <row r="42" spans="1:7" ht="31.5">
      <c r="A42" s="129"/>
      <c r="B42" s="130" t="s">
        <v>25</v>
      </c>
      <c r="C42" s="131" t="s">
        <v>8</v>
      </c>
      <c r="D42" s="131" t="s">
        <v>173</v>
      </c>
      <c r="E42" s="131"/>
      <c r="F42" s="131"/>
      <c r="G42" s="132">
        <f>G43</f>
        <v>57821.164460000015</v>
      </c>
    </row>
    <row r="43" spans="1:7" ht="15.75">
      <c r="A43" s="129"/>
      <c r="B43" s="130" t="s">
        <v>9</v>
      </c>
      <c r="C43" s="131" t="s">
        <v>8</v>
      </c>
      <c r="D43" s="131" t="s">
        <v>173</v>
      </c>
      <c r="E43" s="133" t="s">
        <v>10</v>
      </c>
      <c r="F43" s="131"/>
      <c r="G43" s="132">
        <f>G44+G48+G51</f>
        <v>57821.164460000015</v>
      </c>
    </row>
    <row r="44" spans="1:7" ht="47.25">
      <c r="A44" s="129"/>
      <c r="B44" s="130" t="s">
        <v>16</v>
      </c>
      <c r="C44" s="131" t="s">
        <v>8</v>
      </c>
      <c r="D44" s="131" t="s">
        <v>173</v>
      </c>
      <c r="E44" s="133" t="s">
        <v>17</v>
      </c>
      <c r="F44" s="131"/>
      <c r="G44" s="132">
        <f>G45+G46+G47</f>
        <v>49898.69529000001</v>
      </c>
    </row>
    <row r="45" spans="1:7" ht="47.25">
      <c r="A45" s="129"/>
      <c r="B45" s="130" t="s">
        <v>11</v>
      </c>
      <c r="C45" s="131" t="s">
        <v>8</v>
      </c>
      <c r="D45" s="131" t="s">
        <v>173</v>
      </c>
      <c r="E45" s="133" t="s">
        <v>17</v>
      </c>
      <c r="F45" s="131" t="s">
        <v>12</v>
      </c>
      <c r="G45" s="132">
        <f>'прил 4'!G35+'прил 4'!G97</f>
        <v>45896.76462000001</v>
      </c>
    </row>
    <row r="46" spans="1:7" ht="15.75">
      <c r="A46" s="129"/>
      <c r="B46" s="41" t="s">
        <v>337</v>
      </c>
      <c r="C46" s="131" t="s">
        <v>8</v>
      </c>
      <c r="D46" s="131" t="s">
        <v>173</v>
      </c>
      <c r="E46" s="133" t="s">
        <v>17</v>
      </c>
      <c r="F46" s="131" t="s">
        <v>18</v>
      </c>
      <c r="G46" s="132">
        <f>'прил 4'!G37+'прил 4'!G99</f>
        <v>3947.19067</v>
      </c>
    </row>
    <row r="47" spans="1:7" ht="15.75">
      <c r="A47" s="129"/>
      <c r="B47" s="130" t="s">
        <v>19</v>
      </c>
      <c r="C47" s="131" t="s">
        <v>8</v>
      </c>
      <c r="D47" s="131" t="s">
        <v>173</v>
      </c>
      <c r="E47" s="133" t="s">
        <v>17</v>
      </c>
      <c r="F47" s="131" t="s">
        <v>20</v>
      </c>
      <c r="G47" s="132">
        <f>'прил 4'!G38+'прил 4'!G100</f>
        <v>54.74</v>
      </c>
    </row>
    <row r="48" spans="1:7" ht="31.5">
      <c r="A48" s="129"/>
      <c r="B48" s="130" t="s">
        <v>27</v>
      </c>
      <c r="C48" s="131" t="s">
        <v>8</v>
      </c>
      <c r="D48" s="131" t="s">
        <v>173</v>
      </c>
      <c r="E48" s="133" t="s">
        <v>28</v>
      </c>
      <c r="F48" s="131"/>
      <c r="G48" s="132">
        <f>G49+G50</f>
        <v>7370.77255</v>
      </c>
    </row>
    <row r="49" spans="1:7" ht="47.25">
      <c r="A49" s="129"/>
      <c r="B49" s="130" t="s">
        <v>11</v>
      </c>
      <c r="C49" s="131" t="s">
        <v>8</v>
      </c>
      <c r="D49" s="131" t="s">
        <v>173</v>
      </c>
      <c r="E49" s="133" t="s">
        <v>28</v>
      </c>
      <c r="F49" s="131" t="s">
        <v>12</v>
      </c>
      <c r="G49" s="132">
        <f>'прил 4'!G40</f>
        <v>7358.18855</v>
      </c>
    </row>
    <row r="50" spans="1:7" ht="15.75">
      <c r="A50" s="129"/>
      <c r="B50" s="41" t="s">
        <v>337</v>
      </c>
      <c r="C50" s="131" t="s">
        <v>8</v>
      </c>
      <c r="D50" s="131" t="s">
        <v>173</v>
      </c>
      <c r="E50" s="133" t="s">
        <v>28</v>
      </c>
      <c r="F50" s="131" t="s">
        <v>18</v>
      </c>
      <c r="G50" s="132">
        <f>'прил 4'!G42</f>
        <v>12.584</v>
      </c>
    </row>
    <row r="51" spans="1:7" ht="31.5">
      <c r="A51" s="129"/>
      <c r="B51" s="41" t="s">
        <v>402</v>
      </c>
      <c r="C51" s="131" t="s">
        <v>8</v>
      </c>
      <c r="D51" s="131" t="s">
        <v>173</v>
      </c>
      <c r="E51" s="133" t="s">
        <v>299</v>
      </c>
      <c r="F51" s="131"/>
      <c r="G51" s="132">
        <f>G52+G54+G53</f>
        <v>551.6966199999999</v>
      </c>
    </row>
    <row r="52" spans="1:7" ht="47.25">
      <c r="A52" s="129"/>
      <c r="B52" s="130" t="s">
        <v>11</v>
      </c>
      <c r="C52" s="131" t="s">
        <v>8</v>
      </c>
      <c r="D52" s="131" t="s">
        <v>173</v>
      </c>
      <c r="E52" s="133" t="s">
        <v>299</v>
      </c>
      <c r="F52" s="131" t="s">
        <v>12</v>
      </c>
      <c r="G52" s="132">
        <f>'прил 4'!G44</f>
        <v>433.26399</v>
      </c>
    </row>
    <row r="53" spans="1:7" ht="15.75">
      <c r="A53" s="129"/>
      <c r="B53" s="41" t="s">
        <v>337</v>
      </c>
      <c r="C53" s="131" t="s">
        <v>8</v>
      </c>
      <c r="D53" s="131" t="s">
        <v>173</v>
      </c>
      <c r="E53" s="133" t="s">
        <v>299</v>
      </c>
      <c r="F53" s="131" t="s">
        <v>18</v>
      </c>
      <c r="G53" s="132">
        <f>'прил 4'!G102</f>
        <v>35</v>
      </c>
    </row>
    <row r="54" spans="1:7" ht="15.75">
      <c r="A54" s="129"/>
      <c r="B54" s="130" t="s">
        <v>19</v>
      </c>
      <c r="C54" s="131" t="s">
        <v>8</v>
      </c>
      <c r="D54" s="131" t="s">
        <v>173</v>
      </c>
      <c r="E54" s="133" t="s">
        <v>299</v>
      </c>
      <c r="F54" s="131" t="s">
        <v>20</v>
      </c>
      <c r="G54" s="132">
        <f>'прил 4'!G45+'прил 4'!G103</f>
        <v>83.43262999999999</v>
      </c>
    </row>
    <row r="55" spans="1:7" ht="15.75">
      <c r="A55" s="129"/>
      <c r="B55" s="130" t="s">
        <v>35</v>
      </c>
      <c r="C55" s="131" t="s">
        <v>8</v>
      </c>
      <c r="D55" s="131" t="s">
        <v>138</v>
      </c>
      <c r="E55" s="131"/>
      <c r="F55" s="131"/>
      <c r="G55" s="132">
        <f>G56</f>
        <v>279.281</v>
      </c>
    </row>
    <row r="56" spans="1:7" ht="15.75">
      <c r="A56" s="129"/>
      <c r="B56" s="135" t="s">
        <v>9</v>
      </c>
      <c r="C56" s="131" t="s">
        <v>8</v>
      </c>
      <c r="D56" s="131" t="s">
        <v>138</v>
      </c>
      <c r="E56" s="133" t="s">
        <v>10</v>
      </c>
      <c r="F56" s="131"/>
      <c r="G56" s="132">
        <f>G58</f>
        <v>279.281</v>
      </c>
    </row>
    <row r="57" spans="1:7" ht="15.75">
      <c r="A57" s="129"/>
      <c r="B57" s="130" t="s">
        <v>37</v>
      </c>
      <c r="C57" s="131" t="s">
        <v>8</v>
      </c>
      <c r="D57" s="131" t="s">
        <v>138</v>
      </c>
      <c r="E57" s="133" t="s">
        <v>38</v>
      </c>
      <c r="F57" s="136"/>
      <c r="G57" s="132">
        <f>G58</f>
        <v>279.281</v>
      </c>
    </row>
    <row r="58" spans="1:7" ht="15.75">
      <c r="A58" s="129"/>
      <c r="B58" s="130" t="s">
        <v>19</v>
      </c>
      <c r="C58" s="131" t="s">
        <v>8</v>
      </c>
      <c r="D58" s="131" t="s">
        <v>138</v>
      </c>
      <c r="E58" s="133" t="s">
        <v>38</v>
      </c>
      <c r="F58" s="136" t="s">
        <v>20</v>
      </c>
      <c r="G58" s="132">
        <f>'прил 4'!G67</f>
        <v>279.281</v>
      </c>
    </row>
    <row r="59" spans="1:8" ht="15.75">
      <c r="A59" s="129"/>
      <c r="B59" s="130" t="s">
        <v>39</v>
      </c>
      <c r="C59" s="131" t="s">
        <v>8</v>
      </c>
      <c r="D59" s="131" t="s">
        <v>174</v>
      </c>
      <c r="E59" s="131"/>
      <c r="F59" s="131"/>
      <c r="G59" s="132">
        <f>G60+G82+G86+G93+G73+G78+G90</f>
        <v>62827.96924</v>
      </c>
      <c r="H59" s="171"/>
    </row>
    <row r="60" spans="1:7" ht="31.5">
      <c r="A60" s="129"/>
      <c r="B60" s="41" t="s">
        <v>241</v>
      </c>
      <c r="C60" s="131" t="s">
        <v>8</v>
      </c>
      <c r="D60" s="131" t="s">
        <v>174</v>
      </c>
      <c r="E60" s="131" t="s">
        <v>109</v>
      </c>
      <c r="F60" s="131"/>
      <c r="G60" s="132">
        <f>G61+G63+G67+G69+G71+G65</f>
        <v>2082.84595</v>
      </c>
    </row>
    <row r="61" spans="1:7" ht="63">
      <c r="A61" s="129"/>
      <c r="B61" s="53" t="s">
        <v>222</v>
      </c>
      <c r="C61" s="131" t="s">
        <v>8</v>
      </c>
      <c r="D61" s="131" t="s">
        <v>174</v>
      </c>
      <c r="E61" s="131" t="s">
        <v>111</v>
      </c>
      <c r="F61" s="131"/>
      <c r="G61" s="132">
        <f>G62</f>
        <v>350</v>
      </c>
    </row>
    <row r="62" spans="1:8" ht="15.75">
      <c r="A62" s="129"/>
      <c r="B62" s="41" t="s">
        <v>337</v>
      </c>
      <c r="C62" s="131" t="s">
        <v>8</v>
      </c>
      <c r="D62" s="131" t="s">
        <v>174</v>
      </c>
      <c r="E62" s="131" t="s">
        <v>111</v>
      </c>
      <c r="F62" s="131" t="s">
        <v>18</v>
      </c>
      <c r="G62" s="132">
        <f>'прил 4'!G307</f>
        <v>350</v>
      </c>
      <c r="H62" s="5"/>
    </row>
    <row r="63" spans="1:7" ht="78.75">
      <c r="A63" s="129"/>
      <c r="B63" s="137" t="s">
        <v>112</v>
      </c>
      <c r="C63" s="131" t="s">
        <v>8</v>
      </c>
      <c r="D63" s="131" t="s">
        <v>174</v>
      </c>
      <c r="E63" s="131" t="s">
        <v>113</v>
      </c>
      <c r="F63" s="131"/>
      <c r="G63" s="132">
        <f>G64</f>
        <v>618.1</v>
      </c>
    </row>
    <row r="64" spans="1:7" ht="15.75">
      <c r="A64" s="129"/>
      <c r="B64" s="41" t="s">
        <v>337</v>
      </c>
      <c r="C64" s="131" t="s">
        <v>8</v>
      </c>
      <c r="D64" s="131" t="s">
        <v>174</v>
      </c>
      <c r="E64" s="131" t="s">
        <v>113</v>
      </c>
      <c r="F64" s="131" t="s">
        <v>18</v>
      </c>
      <c r="G64" s="132">
        <f>'прил 4'!G309</f>
        <v>618.1</v>
      </c>
    </row>
    <row r="65" spans="1:7" ht="63">
      <c r="A65" s="129"/>
      <c r="B65" s="49" t="s">
        <v>312</v>
      </c>
      <c r="C65" s="131" t="s">
        <v>8</v>
      </c>
      <c r="D65" s="131" t="s">
        <v>174</v>
      </c>
      <c r="E65" s="131" t="s">
        <v>118</v>
      </c>
      <c r="F65" s="131"/>
      <c r="G65" s="132">
        <f>G66</f>
        <v>187.5</v>
      </c>
    </row>
    <row r="66" spans="1:7" ht="15.75">
      <c r="A66" s="129"/>
      <c r="B66" s="41" t="s">
        <v>337</v>
      </c>
      <c r="C66" s="131" t="s">
        <v>8</v>
      </c>
      <c r="D66" s="131" t="s">
        <v>174</v>
      </c>
      <c r="E66" s="131" t="s">
        <v>118</v>
      </c>
      <c r="F66" s="131" t="s">
        <v>18</v>
      </c>
      <c r="G66" s="132">
        <f>'прил 4'!G311</f>
        <v>187.5</v>
      </c>
    </row>
    <row r="67" spans="1:7" ht="78.75">
      <c r="A67" s="129"/>
      <c r="B67" s="137" t="s">
        <v>117</v>
      </c>
      <c r="C67" s="131" t="s">
        <v>8</v>
      </c>
      <c r="D67" s="131" t="s">
        <v>174</v>
      </c>
      <c r="E67" s="131" t="s">
        <v>120</v>
      </c>
      <c r="F67" s="131"/>
      <c r="G67" s="132">
        <f>G68</f>
        <v>214.00833</v>
      </c>
    </row>
    <row r="68" spans="1:7" ht="15.75">
      <c r="A68" s="129"/>
      <c r="B68" s="41" t="s">
        <v>337</v>
      </c>
      <c r="C68" s="131" t="s">
        <v>8</v>
      </c>
      <c r="D68" s="131" t="s">
        <v>174</v>
      </c>
      <c r="E68" s="131" t="s">
        <v>120</v>
      </c>
      <c r="F68" s="131" t="s">
        <v>18</v>
      </c>
      <c r="G68" s="132">
        <f>'прил 4'!G370</f>
        <v>214.00833</v>
      </c>
    </row>
    <row r="69" spans="1:7" ht="90.75" customHeight="1">
      <c r="A69" s="129"/>
      <c r="B69" s="138" t="s">
        <v>119</v>
      </c>
      <c r="C69" s="131" t="s">
        <v>8</v>
      </c>
      <c r="D69" s="131" t="s">
        <v>174</v>
      </c>
      <c r="E69" s="131" t="s">
        <v>181</v>
      </c>
      <c r="F69" s="131"/>
      <c r="G69" s="132">
        <f>G70</f>
        <v>549.45178</v>
      </c>
    </row>
    <row r="70" spans="1:7" ht="15.75">
      <c r="A70" s="129"/>
      <c r="B70" s="41" t="s">
        <v>337</v>
      </c>
      <c r="C70" s="131" t="s">
        <v>8</v>
      </c>
      <c r="D70" s="131" t="s">
        <v>174</v>
      </c>
      <c r="E70" s="131" t="s">
        <v>181</v>
      </c>
      <c r="F70" s="131" t="s">
        <v>18</v>
      </c>
      <c r="G70" s="132">
        <f>'прил 4'!G372</f>
        <v>549.45178</v>
      </c>
    </row>
    <row r="71" spans="1:7" ht="69.75" customHeight="1">
      <c r="A71" s="129"/>
      <c r="B71" s="56" t="s">
        <v>268</v>
      </c>
      <c r="C71" s="131" t="s">
        <v>8</v>
      </c>
      <c r="D71" s="131" t="s">
        <v>174</v>
      </c>
      <c r="E71" s="133" t="s">
        <v>269</v>
      </c>
      <c r="F71" s="139"/>
      <c r="G71" s="132">
        <f>G72</f>
        <v>163.78584</v>
      </c>
    </row>
    <row r="72" spans="1:7" ht="15.75">
      <c r="A72" s="129"/>
      <c r="B72" s="41" t="s">
        <v>337</v>
      </c>
      <c r="C72" s="131" t="s">
        <v>8</v>
      </c>
      <c r="D72" s="131" t="s">
        <v>174</v>
      </c>
      <c r="E72" s="133" t="s">
        <v>269</v>
      </c>
      <c r="F72" s="139" t="s">
        <v>18</v>
      </c>
      <c r="G72" s="132">
        <f>'прил 4'!G313</f>
        <v>163.78584</v>
      </c>
    </row>
    <row r="73" spans="1:7" ht="31.5">
      <c r="A73" s="129"/>
      <c r="B73" s="41" t="s">
        <v>287</v>
      </c>
      <c r="C73" s="131" t="s">
        <v>8</v>
      </c>
      <c r="D73" s="131" t="s">
        <v>174</v>
      </c>
      <c r="E73" s="133" t="s">
        <v>288</v>
      </c>
      <c r="F73" s="139"/>
      <c r="G73" s="132">
        <f>G76+G74</f>
        <v>602.8408</v>
      </c>
    </row>
    <row r="74" spans="1:7" ht="78.75">
      <c r="A74" s="129"/>
      <c r="B74" s="49" t="s">
        <v>358</v>
      </c>
      <c r="C74" s="131" t="s">
        <v>8</v>
      </c>
      <c r="D74" s="131" t="s">
        <v>174</v>
      </c>
      <c r="E74" s="155" t="s">
        <v>357</v>
      </c>
      <c r="F74" s="139"/>
      <c r="G74" s="132">
        <f>G75</f>
        <v>120</v>
      </c>
    </row>
    <row r="75" spans="1:7" ht="15.75">
      <c r="A75" s="129"/>
      <c r="B75" s="41" t="s">
        <v>337</v>
      </c>
      <c r="C75" s="131" t="s">
        <v>8</v>
      </c>
      <c r="D75" s="131" t="s">
        <v>174</v>
      </c>
      <c r="E75" s="43" t="s">
        <v>357</v>
      </c>
      <c r="F75" s="139" t="s">
        <v>18</v>
      </c>
      <c r="G75" s="132">
        <f>'прил 4'!G375</f>
        <v>120</v>
      </c>
    </row>
    <row r="76" spans="1:7" ht="93" customHeight="1">
      <c r="A76" s="129"/>
      <c r="B76" s="49" t="s">
        <v>352</v>
      </c>
      <c r="C76" s="131" t="s">
        <v>8</v>
      </c>
      <c r="D76" s="131" t="s">
        <v>174</v>
      </c>
      <c r="E76" s="133" t="s">
        <v>326</v>
      </c>
      <c r="F76" s="139"/>
      <c r="G76" s="132">
        <f>G77</f>
        <v>482.84079999999994</v>
      </c>
    </row>
    <row r="77" spans="1:7" ht="15.75">
      <c r="A77" s="129"/>
      <c r="B77" s="41" t="s">
        <v>337</v>
      </c>
      <c r="C77" s="131" t="s">
        <v>8</v>
      </c>
      <c r="D77" s="131" t="s">
        <v>174</v>
      </c>
      <c r="E77" s="133" t="s">
        <v>326</v>
      </c>
      <c r="F77" s="139" t="s">
        <v>18</v>
      </c>
      <c r="G77" s="132">
        <f>'прил 4'!G377</f>
        <v>482.84079999999994</v>
      </c>
    </row>
    <row r="78" spans="1:7" ht="31.5">
      <c r="A78" s="129"/>
      <c r="B78" s="41" t="s">
        <v>242</v>
      </c>
      <c r="C78" s="131" t="s">
        <v>8</v>
      </c>
      <c r="D78" s="131" t="s">
        <v>174</v>
      </c>
      <c r="E78" s="155" t="s">
        <v>101</v>
      </c>
      <c r="F78" s="157"/>
      <c r="G78" s="132">
        <f>G79</f>
        <v>486.8689999999997</v>
      </c>
    </row>
    <row r="79" spans="1:7" ht="15.75">
      <c r="A79" s="129"/>
      <c r="B79" s="41" t="s">
        <v>223</v>
      </c>
      <c r="C79" s="131" t="s">
        <v>8</v>
      </c>
      <c r="D79" s="131" t="s">
        <v>174</v>
      </c>
      <c r="E79" s="155" t="s">
        <v>102</v>
      </c>
      <c r="F79" s="51"/>
      <c r="G79" s="132">
        <f>G80</f>
        <v>486.8689999999997</v>
      </c>
    </row>
    <row r="80" spans="1:7" ht="78.75">
      <c r="A80" s="129"/>
      <c r="B80" s="49" t="s">
        <v>345</v>
      </c>
      <c r="C80" s="131" t="s">
        <v>8</v>
      </c>
      <c r="D80" s="131" t="s">
        <v>174</v>
      </c>
      <c r="E80" s="155" t="s">
        <v>344</v>
      </c>
      <c r="F80" s="95"/>
      <c r="G80" s="132">
        <f>G81</f>
        <v>486.8689999999997</v>
      </c>
    </row>
    <row r="81" spans="1:7" ht="15.75">
      <c r="A81" s="129"/>
      <c r="B81" s="41" t="s">
        <v>340</v>
      </c>
      <c r="C81" s="131" t="s">
        <v>8</v>
      </c>
      <c r="D81" s="131" t="s">
        <v>174</v>
      </c>
      <c r="E81" s="155" t="s">
        <v>344</v>
      </c>
      <c r="F81" s="51" t="s">
        <v>342</v>
      </c>
      <c r="G81" s="132">
        <f>'прил 4'!G381</f>
        <v>486.8689999999997</v>
      </c>
    </row>
    <row r="82" spans="1:7" ht="31.5">
      <c r="A82" s="129"/>
      <c r="B82" s="53" t="s">
        <v>238</v>
      </c>
      <c r="C82" s="131" t="s">
        <v>8</v>
      </c>
      <c r="D82" s="131" t="s">
        <v>174</v>
      </c>
      <c r="E82" s="131" t="s">
        <v>99</v>
      </c>
      <c r="F82" s="131"/>
      <c r="G82" s="132">
        <f>G83</f>
        <v>200</v>
      </c>
    </row>
    <row r="83" spans="1:7" ht="31.5">
      <c r="A83" s="129"/>
      <c r="B83" s="53" t="s">
        <v>202</v>
      </c>
      <c r="C83" s="131" t="s">
        <v>8</v>
      </c>
      <c r="D83" s="131" t="s">
        <v>174</v>
      </c>
      <c r="E83" s="131" t="s">
        <v>203</v>
      </c>
      <c r="F83" s="131"/>
      <c r="G83" s="132">
        <f>G84</f>
        <v>200</v>
      </c>
    </row>
    <row r="84" spans="1:7" ht="78.75">
      <c r="A84" s="129"/>
      <c r="B84" s="53" t="s">
        <v>100</v>
      </c>
      <c r="C84" s="131" t="s">
        <v>8</v>
      </c>
      <c r="D84" s="131" t="s">
        <v>174</v>
      </c>
      <c r="E84" s="131" t="s">
        <v>204</v>
      </c>
      <c r="F84" s="131"/>
      <c r="G84" s="132">
        <f>G85</f>
        <v>200</v>
      </c>
    </row>
    <row r="85" spans="1:7" ht="15.75">
      <c r="A85" s="129"/>
      <c r="B85" s="41" t="s">
        <v>337</v>
      </c>
      <c r="C85" s="131" t="s">
        <v>8</v>
      </c>
      <c r="D85" s="131" t="s">
        <v>174</v>
      </c>
      <c r="E85" s="131" t="s">
        <v>204</v>
      </c>
      <c r="F85" s="131" t="s">
        <v>18</v>
      </c>
      <c r="G85" s="132">
        <f>'прил 4'!G488</f>
        <v>200</v>
      </c>
    </row>
    <row r="86" spans="1:7" ht="31.5">
      <c r="A86" s="129"/>
      <c r="B86" s="41" t="s">
        <v>178</v>
      </c>
      <c r="C86" s="131" t="s">
        <v>8</v>
      </c>
      <c r="D86" s="131" t="s">
        <v>174</v>
      </c>
      <c r="E86" s="131" t="s">
        <v>114</v>
      </c>
      <c r="F86" s="131"/>
      <c r="G86" s="132">
        <f>G87</f>
        <v>4980.59583</v>
      </c>
    </row>
    <row r="87" spans="1:7" ht="31.5">
      <c r="A87" s="129"/>
      <c r="B87" s="41" t="s">
        <v>182</v>
      </c>
      <c r="C87" s="131" t="s">
        <v>8</v>
      </c>
      <c r="D87" s="131" t="s">
        <v>174</v>
      </c>
      <c r="E87" s="131" t="s">
        <v>121</v>
      </c>
      <c r="F87" s="131"/>
      <c r="G87" s="132">
        <f>G88</f>
        <v>4980.59583</v>
      </c>
    </row>
    <row r="88" spans="1:7" ht="47.25">
      <c r="A88" s="129"/>
      <c r="B88" s="53" t="s">
        <v>349</v>
      </c>
      <c r="C88" s="131" t="s">
        <v>8</v>
      </c>
      <c r="D88" s="131" t="s">
        <v>174</v>
      </c>
      <c r="E88" s="155" t="s">
        <v>348</v>
      </c>
      <c r="F88" s="42"/>
      <c r="G88" s="132">
        <f>G89</f>
        <v>4980.59583</v>
      </c>
    </row>
    <row r="89" spans="1:7" ht="15.75">
      <c r="A89" s="129"/>
      <c r="B89" s="41" t="s">
        <v>337</v>
      </c>
      <c r="C89" s="131" t="s">
        <v>8</v>
      </c>
      <c r="D89" s="131" t="s">
        <v>174</v>
      </c>
      <c r="E89" s="155" t="s">
        <v>348</v>
      </c>
      <c r="F89" s="42" t="s">
        <v>18</v>
      </c>
      <c r="G89" s="132">
        <f>'прил 4'!G385</f>
        <v>4980.59583</v>
      </c>
    </row>
    <row r="90" spans="1:7" ht="31.5">
      <c r="A90" s="129"/>
      <c r="B90" s="41" t="s">
        <v>332</v>
      </c>
      <c r="C90" s="131" t="s">
        <v>8</v>
      </c>
      <c r="D90" s="131" t="s">
        <v>174</v>
      </c>
      <c r="E90" s="155" t="s">
        <v>333</v>
      </c>
      <c r="F90" s="131"/>
      <c r="G90" s="132">
        <f>G91</f>
        <v>17.55</v>
      </c>
    </row>
    <row r="91" spans="1:7" ht="82.5" customHeight="1">
      <c r="A91" s="129"/>
      <c r="B91" s="49" t="s">
        <v>343</v>
      </c>
      <c r="C91" s="131" t="s">
        <v>8</v>
      </c>
      <c r="D91" s="131" t="s">
        <v>174</v>
      </c>
      <c r="E91" s="133" t="s">
        <v>334</v>
      </c>
      <c r="F91" s="131"/>
      <c r="G91" s="132">
        <f>G92</f>
        <v>17.55</v>
      </c>
    </row>
    <row r="92" spans="1:7" ht="15.75">
      <c r="A92" s="129"/>
      <c r="B92" s="41" t="s">
        <v>337</v>
      </c>
      <c r="C92" s="131" t="s">
        <v>8</v>
      </c>
      <c r="D92" s="131" t="s">
        <v>174</v>
      </c>
      <c r="E92" s="64" t="s">
        <v>334</v>
      </c>
      <c r="F92" s="131" t="s">
        <v>18</v>
      </c>
      <c r="G92" s="132">
        <f>'прил 4'!G489</f>
        <v>17.55</v>
      </c>
    </row>
    <row r="93" spans="1:7" ht="15.75">
      <c r="A93" s="129"/>
      <c r="B93" s="41" t="s">
        <v>9</v>
      </c>
      <c r="C93" s="131" t="s">
        <v>8</v>
      </c>
      <c r="D93" s="131" t="s">
        <v>174</v>
      </c>
      <c r="E93" s="131" t="s">
        <v>10</v>
      </c>
      <c r="F93" s="131"/>
      <c r="G93" s="132">
        <f>G103+G101+G109+G94+G105+G98+G96</f>
        <v>54457.26766</v>
      </c>
    </row>
    <row r="94" spans="1:7" ht="31.5">
      <c r="A94" s="129"/>
      <c r="B94" s="41" t="s">
        <v>235</v>
      </c>
      <c r="C94" s="131" t="s">
        <v>8</v>
      </c>
      <c r="D94" s="131" t="s">
        <v>174</v>
      </c>
      <c r="E94" s="133" t="s">
        <v>47</v>
      </c>
      <c r="F94" s="131"/>
      <c r="G94" s="132">
        <f>G95</f>
        <v>4185.155</v>
      </c>
    </row>
    <row r="95" spans="1:7" ht="15.75">
      <c r="A95" s="129"/>
      <c r="B95" s="44" t="s">
        <v>48</v>
      </c>
      <c r="C95" s="131" t="s">
        <v>8</v>
      </c>
      <c r="D95" s="131" t="s">
        <v>174</v>
      </c>
      <c r="E95" s="133" t="s">
        <v>47</v>
      </c>
      <c r="F95" s="131" t="s">
        <v>49</v>
      </c>
      <c r="G95" s="132">
        <f>'прил 4'!G71</f>
        <v>4185.155</v>
      </c>
    </row>
    <row r="96" spans="1:7" ht="31.5">
      <c r="A96" s="129"/>
      <c r="B96" s="44" t="s">
        <v>399</v>
      </c>
      <c r="C96" s="131" t="s">
        <v>8</v>
      </c>
      <c r="D96" s="131" t="s">
        <v>174</v>
      </c>
      <c r="E96" s="133" t="s">
        <v>398</v>
      </c>
      <c r="F96" s="131"/>
      <c r="G96" s="132">
        <f>G97</f>
        <v>83</v>
      </c>
    </row>
    <row r="97" spans="1:7" ht="15.75">
      <c r="A97" s="129"/>
      <c r="B97" s="44" t="s">
        <v>48</v>
      </c>
      <c r="C97" s="131" t="s">
        <v>8</v>
      </c>
      <c r="D97" s="131" t="s">
        <v>174</v>
      </c>
      <c r="E97" s="133" t="s">
        <v>398</v>
      </c>
      <c r="F97" s="131" t="s">
        <v>49</v>
      </c>
      <c r="G97" s="132">
        <f>'прил 4'!G73</f>
        <v>83</v>
      </c>
    </row>
    <row r="98" spans="1:7" ht="47.25">
      <c r="A98" s="129"/>
      <c r="B98" s="68" t="s">
        <v>330</v>
      </c>
      <c r="C98" s="133" t="s">
        <v>8</v>
      </c>
      <c r="D98" s="133" t="s">
        <v>174</v>
      </c>
      <c r="E98" s="133" t="s">
        <v>147</v>
      </c>
      <c r="F98" s="131"/>
      <c r="G98" s="132">
        <f>G100+G99</f>
        <v>832</v>
      </c>
    </row>
    <row r="99" spans="1:7" ht="47.25">
      <c r="A99" s="129"/>
      <c r="B99" s="41" t="s">
        <v>11</v>
      </c>
      <c r="C99" s="133" t="s">
        <v>8</v>
      </c>
      <c r="D99" s="133" t="s">
        <v>174</v>
      </c>
      <c r="E99" s="133" t="s">
        <v>147</v>
      </c>
      <c r="F99" s="131" t="s">
        <v>12</v>
      </c>
      <c r="G99" s="132">
        <f>'прил 4'!G120</f>
        <v>450</v>
      </c>
    </row>
    <row r="100" spans="1:7" ht="15.75">
      <c r="A100" s="129"/>
      <c r="B100" s="41" t="s">
        <v>337</v>
      </c>
      <c r="C100" s="133" t="s">
        <v>8</v>
      </c>
      <c r="D100" s="133" t="s">
        <v>174</v>
      </c>
      <c r="E100" s="64" t="s">
        <v>147</v>
      </c>
      <c r="F100" s="131" t="s">
        <v>18</v>
      </c>
      <c r="G100" s="132">
        <f>'прил 4'!G121</f>
        <v>382</v>
      </c>
    </row>
    <row r="101" spans="1:7" ht="53.25" customHeight="1">
      <c r="A101" s="129"/>
      <c r="B101" s="41" t="s">
        <v>246</v>
      </c>
      <c r="C101" s="131" t="s">
        <v>8</v>
      </c>
      <c r="D101" s="131" t="s">
        <v>174</v>
      </c>
      <c r="E101" s="133" t="s">
        <v>245</v>
      </c>
      <c r="F101" s="131"/>
      <c r="G101" s="132">
        <f>G102</f>
        <v>6711</v>
      </c>
    </row>
    <row r="102" spans="1:7" ht="38.25" customHeight="1">
      <c r="A102" s="129"/>
      <c r="B102" s="41" t="s">
        <v>58</v>
      </c>
      <c r="C102" s="131" t="s">
        <v>8</v>
      </c>
      <c r="D102" s="131" t="s">
        <v>174</v>
      </c>
      <c r="E102" s="133" t="s">
        <v>245</v>
      </c>
      <c r="F102" s="131" t="s">
        <v>59</v>
      </c>
      <c r="G102" s="132">
        <f>'прил 4'!G123</f>
        <v>6711</v>
      </c>
    </row>
    <row r="103" spans="1:7" ht="47.25">
      <c r="A103" s="129"/>
      <c r="B103" s="41" t="s">
        <v>41</v>
      </c>
      <c r="C103" s="140" t="s">
        <v>8</v>
      </c>
      <c r="D103" s="140" t="s">
        <v>174</v>
      </c>
      <c r="E103" s="133" t="s">
        <v>42</v>
      </c>
      <c r="F103" s="140"/>
      <c r="G103" s="132">
        <f>G104</f>
        <v>2070</v>
      </c>
    </row>
    <row r="104" spans="1:7" ht="15.75">
      <c r="A104" s="129"/>
      <c r="B104" s="41" t="s">
        <v>19</v>
      </c>
      <c r="C104" s="140" t="s">
        <v>8</v>
      </c>
      <c r="D104" s="140" t="s">
        <v>174</v>
      </c>
      <c r="E104" s="133" t="s">
        <v>42</v>
      </c>
      <c r="F104" s="140" t="s">
        <v>20</v>
      </c>
      <c r="G104" s="132">
        <f>'прил 4'!G75</f>
        <v>2070</v>
      </c>
    </row>
    <row r="105" spans="1:7" ht="41.25" customHeight="1">
      <c r="A105" s="129"/>
      <c r="B105" s="41" t="s">
        <v>296</v>
      </c>
      <c r="C105" s="131" t="s">
        <v>8</v>
      </c>
      <c r="D105" s="131" t="s">
        <v>174</v>
      </c>
      <c r="E105" s="133" t="s">
        <v>297</v>
      </c>
      <c r="F105" s="139"/>
      <c r="G105" s="132">
        <f>G106+G107+G108</f>
        <v>11771.41777</v>
      </c>
    </row>
    <row r="106" spans="1:7" ht="56.25" customHeight="1">
      <c r="A106" s="129"/>
      <c r="B106" s="41" t="s">
        <v>11</v>
      </c>
      <c r="C106" s="140" t="s">
        <v>8</v>
      </c>
      <c r="D106" s="140" t="s">
        <v>174</v>
      </c>
      <c r="E106" s="133" t="s">
        <v>297</v>
      </c>
      <c r="F106" s="139" t="s">
        <v>12</v>
      </c>
      <c r="G106" s="132">
        <f>'прил 4'!G390</f>
        <v>10625.29337</v>
      </c>
    </row>
    <row r="107" spans="1:7" ht="15.75">
      <c r="A107" s="129"/>
      <c r="B107" s="41" t="s">
        <v>337</v>
      </c>
      <c r="C107" s="140" t="s">
        <v>8</v>
      </c>
      <c r="D107" s="140" t="s">
        <v>174</v>
      </c>
      <c r="E107" s="133" t="s">
        <v>297</v>
      </c>
      <c r="F107" s="139" t="s">
        <v>18</v>
      </c>
      <c r="G107" s="132">
        <f>'прил 4'!G392</f>
        <v>1144.1244000000002</v>
      </c>
    </row>
    <row r="108" spans="1:7" ht="15.75">
      <c r="A108" s="129"/>
      <c r="B108" s="41" t="s">
        <v>19</v>
      </c>
      <c r="C108" s="140" t="s">
        <v>8</v>
      </c>
      <c r="D108" s="140" t="s">
        <v>174</v>
      </c>
      <c r="E108" s="133" t="s">
        <v>297</v>
      </c>
      <c r="F108" s="139" t="s">
        <v>20</v>
      </c>
      <c r="G108" s="132">
        <f>'прил 4'!G394</f>
        <v>2</v>
      </c>
    </row>
    <row r="109" spans="1:7" ht="57" customHeight="1">
      <c r="A109" s="129"/>
      <c r="B109" s="41" t="s">
        <v>153</v>
      </c>
      <c r="C109" s="140" t="s">
        <v>8</v>
      </c>
      <c r="D109" s="140" t="s">
        <v>174</v>
      </c>
      <c r="E109" s="133" t="s">
        <v>154</v>
      </c>
      <c r="F109" s="140"/>
      <c r="G109" s="132">
        <f>G110+G111+G112</f>
        <v>28804.694890000002</v>
      </c>
    </row>
    <row r="110" spans="1:7" ht="51" customHeight="1">
      <c r="A110" s="129"/>
      <c r="B110" s="41" t="s">
        <v>11</v>
      </c>
      <c r="C110" s="140" t="s">
        <v>8</v>
      </c>
      <c r="D110" s="140" t="s">
        <v>174</v>
      </c>
      <c r="E110" s="133" t="s">
        <v>154</v>
      </c>
      <c r="F110" s="140" t="s">
        <v>12</v>
      </c>
      <c r="G110" s="132">
        <f>'прил 4'!G494</f>
        <v>19804.15842</v>
      </c>
    </row>
    <row r="111" spans="1:7" ht="15.75">
      <c r="A111" s="129"/>
      <c r="B111" s="41" t="s">
        <v>337</v>
      </c>
      <c r="C111" s="140" t="s">
        <v>8</v>
      </c>
      <c r="D111" s="140" t="s">
        <v>174</v>
      </c>
      <c r="E111" s="133" t="s">
        <v>154</v>
      </c>
      <c r="F111" s="140" t="s">
        <v>18</v>
      </c>
      <c r="G111" s="132">
        <f>'прил 4'!G495</f>
        <v>8809.708470000001</v>
      </c>
    </row>
    <row r="112" spans="1:7" ht="15.75">
      <c r="A112" s="129"/>
      <c r="B112" s="41" t="s">
        <v>19</v>
      </c>
      <c r="C112" s="140" t="s">
        <v>8</v>
      </c>
      <c r="D112" s="140" t="s">
        <v>174</v>
      </c>
      <c r="E112" s="133" t="s">
        <v>154</v>
      </c>
      <c r="F112" s="140" t="s">
        <v>20</v>
      </c>
      <c r="G112" s="132">
        <f>'прил 4'!G497</f>
        <v>190.828</v>
      </c>
    </row>
    <row r="113" spans="1:7" ht="15.75">
      <c r="A113" s="163">
        <v>2</v>
      </c>
      <c r="B113" s="164" t="s">
        <v>378</v>
      </c>
      <c r="C113" s="165" t="s">
        <v>171</v>
      </c>
      <c r="D113" s="165"/>
      <c r="E113" s="166"/>
      <c r="F113" s="165"/>
      <c r="G113" s="167">
        <f>G114</f>
        <v>305.57</v>
      </c>
    </row>
    <row r="114" spans="1:7" ht="15.75">
      <c r="A114" s="129"/>
      <c r="B114" s="41" t="s">
        <v>380</v>
      </c>
      <c r="C114" s="140" t="s">
        <v>171</v>
      </c>
      <c r="D114" s="140" t="s">
        <v>149</v>
      </c>
      <c r="E114" s="133"/>
      <c r="F114" s="140"/>
      <c r="G114" s="132">
        <f>G115</f>
        <v>305.57</v>
      </c>
    </row>
    <row r="115" spans="1:7" ht="15.75">
      <c r="A115" s="129"/>
      <c r="B115" s="41" t="s">
        <v>9</v>
      </c>
      <c r="C115" s="140" t="s">
        <v>171</v>
      </c>
      <c r="D115" s="140" t="s">
        <v>149</v>
      </c>
      <c r="E115" s="133" t="s">
        <v>10</v>
      </c>
      <c r="F115" s="140"/>
      <c r="G115" s="132">
        <f>G116</f>
        <v>305.57</v>
      </c>
    </row>
    <row r="116" spans="1:7" ht="31.5">
      <c r="A116" s="129"/>
      <c r="B116" s="41" t="s">
        <v>379</v>
      </c>
      <c r="C116" s="140" t="s">
        <v>171</v>
      </c>
      <c r="D116" s="140" t="s">
        <v>149</v>
      </c>
      <c r="E116" s="133" t="s">
        <v>377</v>
      </c>
      <c r="F116" s="140"/>
      <c r="G116" s="132">
        <f>G117</f>
        <v>305.57</v>
      </c>
    </row>
    <row r="117" spans="1:7" ht="15.75">
      <c r="A117" s="129"/>
      <c r="B117" s="41" t="s">
        <v>337</v>
      </c>
      <c r="C117" s="140" t="s">
        <v>171</v>
      </c>
      <c r="D117" s="140" t="s">
        <v>149</v>
      </c>
      <c r="E117" s="133" t="s">
        <v>377</v>
      </c>
      <c r="F117" s="140" t="s">
        <v>18</v>
      </c>
      <c r="G117" s="132">
        <f>'прил 4'!G80</f>
        <v>305.57</v>
      </c>
    </row>
    <row r="118" spans="1:7" s="4" customFormat="1" ht="15.75">
      <c r="A118" s="125">
        <v>3</v>
      </c>
      <c r="B118" s="126" t="s">
        <v>148</v>
      </c>
      <c r="C118" s="141" t="s">
        <v>149</v>
      </c>
      <c r="D118" s="141"/>
      <c r="E118" s="141"/>
      <c r="F118" s="141"/>
      <c r="G118" s="142">
        <f>G119+G123</f>
        <v>3931</v>
      </c>
    </row>
    <row r="119" spans="1:7" ht="42.75" customHeight="1">
      <c r="A119" s="129"/>
      <c r="B119" s="130" t="s">
        <v>239</v>
      </c>
      <c r="C119" s="131" t="s">
        <v>149</v>
      </c>
      <c r="D119" s="131" t="s">
        <v>44</v>
      </c>
      <c r="E119" s="131"/>
      <c r="F119" s="131"/>
      <c r="G119" s="132">
        <f>G120</f>
        <v>3721</v>
      </c>
    </row>
    <row r="120" spans="1:7" ht="57" customHeight="1">
      <c r="A120" s="129"/>
      <c r="B120" s="130" t="s">
        <v>205</v>
      </c>
      <c r="C120" s="131" t="s">
        <v>149</v>
      </c>
      <c r="D120" s="131" t="s">
        <v>44</v>
      </c>
      <c r="E120" s="133" t="s">
        <v>150</v>
      </c>
      <c r="F120" s="131"/>
      <c r="G120" s="132">
        <f>G121</f>
        <v>3721</v>
      </c>
    </row>
    <row r="121" spans="1:7" ht="96.75" customHeight="1">
      <c r="A121" s="129"/>
      <c r="B121" s="137" t="s">
        <v>151</v>
      </c>
      <c r="C121" s="131" t="s">
        <v>149</v>
      </c>
      <c r="D121" s="131" t="s">
        <v>44</v>
      </c>
      <c r="E121" s="133" t="s">
        <v>152</v>
      </c>
      <c r="F121" s="131"/>
      <c r="G121" s="132">
        <f>'прил 5'!G122</f>
        <v>3721</v>
      </c>
    </row>
    <row r="122" spans="1:7" ht="15.75">
      <c r="A122" s="129"/>
      <c r="B122" s="41" t="s">
        <v>337</v>
      </c>
      <c r="C122" s="131" t="s">
        <v>149</v>
      </c>
      <c r="D122" s="131" t="s">
        <v>44</v>
      </c>
      <c r="E122" s="133" t="s">
        <v>152</v>
      </c>
      <c r="F122" s="131" t="s">
        <v>18</v>
      </c>
      <c r="G122" s="132">
        <f>'прил 4'!G502+'прил 4'!G127</f>
        <v>3721</v>
      </c>
    </row>
    <row r="123" spans="1:7" ht="31.5">
      <c r="A123" s="129"/>
      <c r="B123" s="41" t="s">
        <v>361</v>
      </c>
      <c r="C123" s="131" t="s">
        <v>149</v>
      </c>
      <c r="D123" s="131" t="s">
        <v>314</v>
      </c>
      <c r="E123" s="64"/>
      <c r="F123" s="131"/>
      <c r="G123" s="132">
        <f>G124</f>
        <v>210</v>
      </c>
    </row>
    <row r="124" spans="1:7" ht="31.5">
      <c r="A124" s="129"/>
      <c r="B124" s="41" t="s">
        <v>238</v>
      </c>
      <c r="C124" s="131" t="s">
        <v>149</v>
      </c>
      <c r="D124" s="131" t="s">
        <v>314</v>
      </c>
      <c r="E124" s="133" t="s">
        <v>99</v>
      </c>
      <c r="F124" s="131"/>
      <c r="G124" s="132">
        <f>G125</f>
        <v>210</v>
      </c>
    </row>
    <row r="125" spans="1:7" ht="38.25" customHeight="1">
      <c r="A125" s="129"/>
      <c r="B125" s="41" t="s">
        <v>202</v>
      </c>
      <c r="C125" s="131" t="s">
        <v>149</v>
      </c>
      <c r="D125" s="131" t="s">
        <v>314</v>
      </c>
      <c r="E125" s="133" t="s">
        <v>203</v>
      </c>
      <c r="F125" s="131"/>
      <c r="G125" s="132">
        <f>G126+G128</f>
        <v>210</v>
      </c>
    </row>
    <row r="126" spans="1:7" ht="71.25" customHeight="1">
      <c r="A126" s="129"/>
      <c r="B126" s="41" t="s">
        <v>371</v>
      </c>
      <c r="C126" s="131" t="s">
        <v>149</v>
      </c>
      <c r="D126" s="131" t="s">
        <v>314</v>
      </c>
      <c r="E126" s="133" t="s">
        <v>243</v>
      </c>
      <c r="F126" s="131"/>
      <c r="G126" s="132">
        <f>G127</f>
        <v>105</v>
      </c>
    </row>
    <row r="127" spans="1:7" ht="55.5" customHeight="1">
      <c r="A127" s="129"/>
      <c r="B127" s="62" t="s">
        <v>11</v>
      </c>
      <c r="C127" s="131" t="s">
        <v>149</v>
      </c>
      <c r="D127" s="131" t="s">
        <v>314</v>
      </c>
      <c r="E127" s="133" t="s">
        <v>243</v>
      </c>
      <c r="F127" s="131" t="s">
        <v>12</v>
      </c>
      <c r="G127" s="132">
        <f>'прил 4'!G507</f>
        <v>105</v>
      </c>
    </row>
    <row r="128" spans="1:7" ht="82.5" customHeight="1">
      <c r="A128" s="129"/>
      <c r="B128" s="49" t="s">
        <v>278</v>
      </c>
      <c r="C128" s="131" t="s">
        <v>149</v>
      </c>
      <c r="D128" s="131" t="s">
        <v>314</v>
      </c>
      <c r="E128" s="133" t="s">
        <v>362</v>
      </c>
      <c r="F128" s="131"/>
      <c r="G128" s="132">
        <f>G129</f>
        <v>105</v>
      </c>
    </row>
    <row r="129" spans="1:7" ht="60" customHeight="1">
      <c r="A129" s="129"/>
      <c r="B129" s="62" t="s">
        <v>11</v>
      </c>
      <c r="C129" s="131" t="s">
        <v>149</v>
      </c>
      <c r="D129" s="131" t="s">
        <v>314</v>
      </c>
      <c r="E129" s="133" t="s">
        <v>362</v>
      </c>
      <c r="F129" s="131" t="s">
        <v>12</v>
      </c>
      <c r="G129" s="132">
        <f>'прил 4'!G509</f>
        <v>105</v>
      </c>
    </row>
    <row r="130" spans="1:7" s="4" customFormat="1" ht="15.75">
      <c r="A130" s="125">
        <v>4</v>
      </c>
      <c r="B130" s="126" t="s">
        <v>60</v>
      </c>
      <c r="C130" s="127" t="s">
        <v>61</v>
      </c>
      <c r="D130" s="127"/>
      <c r="E130" s="127"/>
      <c r="F130" s="127"/>
      <c r="G130" s="128">
        <f>G138+G131+G159</f>
        <v>88414.68789</v>
      </c>
    </row>
    <row r="131" spans="1:7" ht="15.75">
      <c r="A131" s="129"/>
      <c r="B131" s="41" t="s">
        <v>207</v>
      </c>
      <c r="C131" s="131" t="s">
        <v>61</v>
      </c>
      <c r="D131" s="131" t="s">
        <v>133</v>
      </c>
      <c r="E131" s="131"/>
      <c r="F131" s="131"/>
      <c r="G131" s="132">
        <f>G132</f>
        <v>9192</v>
      </c>
    </row>
    <row r="132" spans="1:7" ht="35.25" customHeight="1">
      <c r="A132" s="129"/>
      <c r="B132" s="41" t="s">
        <v>238</v>
      </c>
      <c r="C132" s="131" t="s">
        <v>61</v>
      </c>
      <c r="D132" s="131" t="s">
        <v>133</v>
      </c>
      <c r="E132" s="131" t="s">
        <v>99</v>
      </c>
      <c r="F132" s="131"/>
      <c r="G132" s="132">
        <f>G133</f>
        <v>9192</v>
      </c>
    </row>
    <row r="133" spans="1:7" ht="37.5" customHeight="1">
      <c r="A133" s="129"/>
      <c r="B133" s="41" t="s">
        <v>208</v>
      </c>
      <c r="C133" s="131" t="s">
        <v>61</v>
      </c>
      <c r="D133" s="131" t="s">
        <v>133</v>
      </c>
      <c r="E133" s="131" t="s">
        <v>203</v>
      </c>
      <c r="F133" s="131"/>
      <c r="G133" s="132">
        <f>G136+G134</f>
        <v>9192</v>
      </c>
    </row>
    <row r="134" spans="1:7" ht="53.25" customHeight="1">
      <c r="A134" s="129"/>
      <c r="B134" s="49" t="s">
        <v>228</v>
      </c>
      <c r="C134" s="131" t="s">
        <v>61</v>
      </c>
      <c r="D134" s="131" t="s">
        <v>133</v>
      </c>
      <c r="E134" s="133" t="s">
        <v>229</v>
      </c>
      <c r="F134" s="131"/>
      <c r="G134" s="132">
        <f>G135</f>
        <v>92</v>
      </c>
    </row>
    <row r="135" spans="1:7" ht="24" customHeight="1">
      <c r="A135" s="129"/>
      <c r="B135" s="41" t="s">
        <v>337</v>
      </c>
      <c r="C135" s="131" t="s">
        <v>61</v>
      </c>
      <c r="D135" s="131" t="s">
        <v>133</v>
      </c>
      <c r="E135" s="133" t="s">
        <v>229</v>
      </c>
      <c r="F135" s="131" t="s">
        <v>18</v>
      </c>
      <c r="G135" s="132">
        <f>'прил 4'!G134</f>
        <v>92</v>
      </c>
    </row>
    <row r="136" spans="1:7" ht="65.25" customHeight="1">
      <c r="A136" s="129"/>
      <c r="B136" s="49" t="s">
        <v>227</v>
      </c>
      <c r="C136" s="131" t="s">
        <v>61</v>
      </c>
      <c r="D136" s="131" t="s">
        <v>133</v>
      </c>
      <c r="E136" s="131" t="s">
        <v>272</v>
      </c>
      <c r="F136" s="131"/>
      <c r="G136" s="132">
        <f>G137</f>
        <v>9100</v>
      </c>
    </row>
    <row r="137" spans="1:7" ht="15.75">
      <c r="A137" s="129"/>
      <c r="B137" s="41" t="s">
        <v>337</v>
      </c>
      <c r="C137" s="131" t="s">
        <v>61</v>
      </c>
      <c r="D137" s="131" t="s">
        <v>133</v>
      </c>
      <c r="E137" s="131" t="s">
        <v>272</v>
      </c>
      <c r="F137" s="131" t="s">
        <v>18</v>
      </c>
      <c r="G137" s="132">
        <f>'прил 4'!G136</f>
        <v>9100</v>
      </c>
    </row>
    <row r="138" spans="1:7" ht="15.75">
      <c r="A138" s="129"/>
      <c r="B138" s="41" t="s">
        <v>62</v>
      </c>
      <c r="C138" s="131" t="s">
        <v>61</v>
      </c>
      <c r="D138" s="131" t="s">
        <v>175</v>
      </c>
      <c r="E138" s="131"/>
      <c r="F138" s="131"/>
      <c r="G138" s="132">
        <f>G139+G147</f>
        <v>69018.60626</v>
      </c>
    </row>
    <row r="139" spans="1:7" s="5" customFormat="1" ht="31.5">
      <c r="A139" s="129"/>
      <c r="B139" s="41" t="s">
        <v>183</v>
      </c>
      <c r="C139" s="131" t="s">
        <v>61</v>
      </c>
      <c r="D139" s="131" t="s">
        <v>175</v>
      </c>
      <c r="E139" s="133" t="s">
        <v>64</v>
      </c>
      <c r="F139" s="131"/>
      <c r="G139" s="132">
        <f>G140</f>
        <v>55437.860400000005</v>
      </c>
    </row>
    <row r="140" spans="1:7" s="5" customFormat="1" ht="28.5" customHeight="1">
      <c r="A140" s="129"/>
      <c r="B140" s="53" t="s">
        <v>122</v>
      </c>
      <c r="C140" s="131" t="s">
        <v>61</v>
      </c>
      <c r="D140" s="131" t="s">
        <v>175</v>
      </c>
      <c r="E140" s="133" t="s">
        <v>65</v>
      </c>
      <c r="F140" s="131"/>
      <c r="G140" s="132">
        <f>G141+G144</f>
        <v>55437.860400000005</v>
      </c>
    </row>
    <row r="141" spans="1:7" s="5" customFormat="1" ht="96" customHeight="1">
      <c r="A141" s="129"/>
      <c r="B141" s="49" t="s">
        <v>248</v>
      </c>
      <c r="C141" s="131" t="s">
        <v>61</v>
      </c>
      <c r="D141" s="131" t="s">
        <v>175</v>
      </c>
      <c r="E141" s="133" t="s">
        <v>247</v>
      </c>
      <c r="F141" s="131"/>
      <c r="G141" s="132">
        <f>G142+G143</f>
        <v>48457.860400000005</v>
      </c>
    </row>
    <row r="142" spans="1:7" s="5" customFormat="1" ht="15.75">
      <c r="A142" s="129"/>
      <c r="B142" s="41" t="s">
        <v>337</v>
      </c>
      <c r="C142" s="131" t="s">
        <v>61</v>
      </c>
      <c r="D142" s="131" t="s">
        <v>175</v>
      </c>
      <c r="E142" s="133" t="s">
        <v>247</v>
      </c>
      <c r="F142" s="131" t="s">
        <v>18</v>
      </c>
      <c r="G142" s="132">
        <f>'прил 4'!G141</f>
        <v>22679.0551</v>
      </c>
    </row>
    <row r="143" spans="1:7" s="5" customFormat="1" ht="15.75">
      <c r="A143" s="129"/>
      <c r="B143" s="41" t="s">
        <v>19</v>
      </c>
      <c r="C143" s="131" t="s">
        <v>61</v>
      </c>
      <c r="D143" s="131" t="s">
        <v>175</v>
      </c>
      <c r="E143" s="133" t="s">
        <v>247</v>
      </c>
      <c r="F143" s="131" t="s">
        <v>20</v>
      </c>
      <c r="G143" s="132">
        <f>'прил 4'!G142</f>
        <v>25778.8053</v>
      </c>
    </row>
    <row r="144" spans="1:7" s="5" customFormat="1" ht="72" customHeight="1">
      <c r="A144" s="129"/>
      <c r="B144" s="53" t="s">
        <v>279</v>
      </c>
      <c r="C144" s="131" t="s">
        <v>61</v>
      </c>
      <c r="D144" s="131" t="s">
        <v>175</v>
      </c>
      <c r="E144" s="143" t="s">
        <v>273</v>
      </c>
      <c r="F144" s="131"/>
      <c r="G144" s="132">
        <f>G145+G146</f>
        <v>6980</v>
      </c>
    </row>
    <row r="145" spans="1:7" s="5" customFormat="1" ht="15.75">
      <c r="A145" s="129"/>
      <c r="B145" s="41" t="s">
        <v>337</v>
      </c>
      <c r="C145" s="131" t="s">
        <v>61</v>
      </c>
      <c r="D145" s="131" t="s">
        <v>175</v>
      </c>
      <c r="E145" s="143" t="s">
        <v>273</v>
      </c>
      <c r="F145" s="131" t="s">
        <v>18</v>
      </c>
      <c r="G145" s="132">
        <f>'прил 4'!G144</f>
        <v>4115.6883</v>
      </c>
    </row>
    <row r="146" spans="1:7" s="5" customFormat="1" ht="15.75">
      <c r="A146" s="129"/>
      <c r="B146" s="41" t="s">
        <v>19</v>
      </c>
      <c r="C146" s="131" t="s">
        <v>61</v>
      </c>
      <c r="D146" s="131" t="s">
        <v>175</v>
      </c>
      <c r="E146" s="143" t="s">
        <v>273</v>
      </c>
      <c r="F146" s="131" t="s">
        <v>20</v>
      </c>
      <c r="G146" s="132">
        <f>'прил 4'!G145</f>
        <v>2864.3116999999997</v>
      </c>
    </row>
    <row r="147" spans="1:7" s="5" customFormat="1" ht="31.5">
      <c r="A147" s="129"/>
      <c r="B147" s="41" t="s">
        <v>242</v>
      </c>
      <c r="C147" s="131" t="s">
        <v>61</v>
      </c>
      <c r="D147" s="131" t="s">
        <v>175</v>
      </c>
      <c r="E147" s="133" t="s">
        <v>101</v>
      </c>
      <c r="F147" s="131"/>
      <c r="G147" s="132">
        <f>G148</f>
        <v>13580.745860000003</v>
      </c>
    </row>
    <row r="148" spans="1:7" s="5" customFormat="1" ht="47.25">
      <c r="A148" s="129"/>
      <c r="B148" s="53" t="s">
        <v>232</v>
      </c>
      <c r="C148" s="131" t="s">
        <v>61</v>
      </c>
      <c r="D148" s="131" t="s">
        <v>175</v>
      </c>
      <c r="E148" s="133" t="s">
        <v>102</v>
      </c>
      <c r="F148" s="131"/>
      <c r="G148" s="132">
        <f>G149+G152+G155+G157</f>
        <v>13580.745860000003</v>
      </c>
    </row>
    <row r="149" spans="1:7" s="5" customFormat="1" ht="63">
      <c r="A149" s="129"/>
      <c r="B149" s="53" t="s">
        <v>103</v>
      </c>
      <c r="C149" s="131" t="s">
        <v>61</v>
      </c>
      <c r="D149" s="131" t="s">
        <v>175</v>
      </c>
      <c r="E149" s="133" t="s">
        <v>249</v>
      </c>
      <c r="F149" s="131"/>
      <c r="G149" s="132">
        <f>G150+G151</f>
        <v>6726.3</v>
      </c>
    </row>
    <row r="150" spans="1:7" s="5" customFormat="1" ht="15.75">
      <c r="A150" s="129"/>
      <c r="B150" s="41" t="s">
        <v>337</v>
      </c>
      <c r="C150" s="131" t="s">
        <v>61</v>
      </c>
      <c r="D150" s="131" t="s">
        <v>175</v>
      </c>
      <c r="E150" s="133" t="s">
        <v>249</v>
      </c>
      <c r="F150" s="131" t="s">
        <v>18</v>
      </c>
      <c r="G150" s="132">
        <f>'прил 4'!G149</f>
        <v>1443.1473000000005</v>
      </c>
    </row>
    <row r="151" spans="1:7" s="5" customFormat="1" ht="31.5">
      <c r="A151" s="129"/>
      <c r="B151" s="41" t="s">
        <v>58</v>
      </c>
      <c r="C151" s="131" t="s">
        <v>61</v>
      </c>
      <c r="D151" s="131" t="s">
        <v>175</v>
      </c>
      <c r="E151" s="133" t="s">
        <v>249</v>
      </c>
      <c r="F151" s="131" t="s">
        <v>59</v>
      </c>
      <c r="G151" s="132">
        <f>'прил 4'!G150</f>
        <v>5283.1527</v>
      </c>
    </row>
    <row r="152" spans="1:7" s="5" customFormat="1" ht="78.75">
      <c r="A152" s="129"/>
      <c r="B152" s="53" t="s">
        <v>104</v>
      </c>
      <c r="C152" s="131" t="s">
        <v>61</v>
      </c>
      <c r="D152" s="131" t="s">
        <v>175</v>
      </c>
      <c r="E152" s="133" t="s">
        <v>274</v>
      </c>
      <c r="F152" s="131"/>
      <c r="G152" s="132">
        <f>G153+G154</f>
        <v>3223.581</v>
      </c>
    </row>
    <row r="153" spans="1:7" s="5" customFormat="1" ht="15.75">
      <c r="A153" s="129"/>
      <c r="B153" s="41" t="s">
        <v>337</v>
      </c>
      <c r="C153" s="131" t="s">
        <v>61</v>
      </c>
      <c r="D153" s="131" t="s">
        <v>175</v>
      </c>
      <c r="E153" s="133" t="s">
        <v>274</v>
      </c>
      <c r="F153" s="131" t="s">
        <v>18</v>
      </c>
      <c r="G153" s="132">
        <f>'прил 4'!G152</f>
        <v>1454.31805</v>
      </c>
    </row>
    <row r="154" spans="1:7" s="5" customFormat="1" ht="31.5">
      <c r="A154" s="129"/>
      <c r="B154" s="41" t="s">
        <v>58</v>
      </c>
      <c r="C154" s="131" t="s">
        <v>61</v>
      </c>
      <c r="D154" s="131" t="s">
        <v>175</v>
      </c>
      <c r="E154" s="133" t="s">
        <v>274</v>
      </c>
      <c r="F154" s="131" t="s">
        <v>59</v>
      </c>
      <c r="G154" s="132">
        <f>'прил 4'!G153</f>
        <v>1769.2629499999998</v>
      </c>
    </row>
    <row r="155" spans="1:7" s="5" customFormat="1" ht="78.75">
      <c r="A155" s="129"/>
      <c r="B155" s="49" t="s">
        <v>372</v>
      </c>
      <c r="C155" s="131" t="s">
        <v>61</v>
      </c>
      <c r="D155" s="131" t="s">
        <v>175</v>
      </c>
      <c r="E155" s="155" t="s">
        <v>373</v>
      </c>
      <c r="F155" s="95"/>
      <c r="G155" s="132">
        <f>G156</f>
        <v>2850.8648600000006</v>
      </c>
    </row>
    <row r="156" spans="1:7" s="5" customFormat="1" ht="31.5">
      <c r="A156" s="129"/>
      <c r="B156" s="41" t="s">
        <v>58</v>
      </c>
      <c r="C156" s="131" t="s">
        <v>61</v>
      </c>
      <c r="D156" s="131" t="s">
        <v>175</v>
      </c>
      <c r="E156" s="155" t="s">
        <v>373</v>
      </c>
      <c r="F156" s="161">
        <v>600</v>
      </c>
      <c r="G156" s="132">
        <f>'прил 4'!G155</f>
        <v>2850.8648600000006</v>
      </c>
    </row>
    <row r="157" spans="1:7" s="5" customFormat="1" ht="90.75" customHeight="1">
      <c r="A157" s="129"/>
      <c r="B157" s="49" t="s">
        <v>374</v>
      </c>
      <c r="C157" s="131" t="s">
        <v>61</v>
      </c>
      <c r="D157" s="131" t="s">
        <v>175</v>
      </c>
      <c r="E157" s="155" t="s">
        <v>375</v>
      </c>
      <c r="F157" s="161"/>
      <c r="G157" s="132">
        <f>G158</f>
        <v>780</v>
      </c>
    </row>
    <row r="158" spans="1:7" s="5" customFormat="1" ht="15.75">
      <c r="A158" s="129"/>
      <c r="B158" s="41" t="s">
        <v>337</v>
      </c>
      <c r="C158" s="131" t="s">
        <v>61</v>
      </c>
      <c r="D158" s="131" t="s">
        <v>175</v>
      </c>
      <c r="E158" s="155" t="s">
        <v>375</v>
      </c>
      <c r="F158" s="161">
        <v>200</v>
      </c>
      <c r="G158" s="132">
        <f>'прил 4'!G156</f>
        <v>780</v>
      </c>
    </row>
    <row r="159" spans="1:7" ht="15.75">
      <c r="A159" s="129"/>
      <c r="B159" s="41" t="s">
        <v>210</v>
      </c>
      <c r="C159" s="131" t="s">
        <v>61</v>
      </c>
      <c r="D159" s="131" t="s">
        <v>224</v>
      </c>
      <c r="E159" s="133"/>
      <c r="F159" s="131"/>
      <c r="G159" s="132">
        <f>G160</f>
        <v>10204.08163</v>
      </c>
    </row>
    <row r="160" spans="1:7" ht="47.25">
      <c r="A160" s="129"/>
      <c r="B160" s="53" t="s">
        <v>225</v>
      </c>
      <c r="C160" s="131" t="s">
        <v>61</v>
      </c>
      <c r="D160" s="131" t="s">
        <v>224</v>
      </c>
      <c r="E160" s="133" t="s">
        <v>76</v>
      </c>
      <c r="F160" s="131"/>
      <c r="G160" s="132">
        <f>G161</f>
        <v>10204.08163</v>
      </c>
    </row>
    <row r="161" spans="1:7" ht="31.5">
      <c r="A161" s="129"/>
      <c r="B161" s="53" t="s">
        <v>211</v>
      </c>
      <c r="C161" s="131" t="s">
        <v>61</v>
      </c>
      <c r="D161" s="131" t="s">
        <v>224</v>
      </c>
      <c r="E161" s="133" t="s">
        <v>77</v>
      </c>
      <c r="F161" s="131"/>
      <c r="G161" s="132">
        <f>G162+G164</f>
        <v>10204.08163</v>
      </c>
    </row>
    <row r="162" spans="1:7" ht="63">
      <c r="A162" s="129"/>
      <c r="B162" s="49" t="s">
        <v>213</v>
      </c>
      <c r="C162" s="131" t="s">
        <v>61</v>
      </c>
      <c r="D162" s="131" t="s">
        <v>224</v>
      </c>
      <c r="E162" s="133" t="s">
        <v>214</v>
      </c>
      <c r="F162" s="131"/>
      <c r="G162" s="132">
        <f>G163</f>
        <v>10000</v>
      </c>
    </row>
    <row r="163" spans="1:7" ht="15.75">
      <c r="A163" s="129"/>
      <c r="B163" s="41" t="s">
        <v>337</v>
      </c>
      <c r="C163" s="131" t="s">
        <v>61</v>
      </c>
      <c r="D163" s="131" t="s">
        <v>224</v>
      </c>
      <c r="E163" s="133" t="s">
        <v>214</v>
      </c>
      <c r="F163" s="131" t="s">
        <v>18</v>
      </c>
      <c r="G163" s="132">
        <f>'прил 4'!G162</f>
        <v>10000</v>
      </c>
    </row>
    <row r="164" spans="1:7" ht="78.75">
      <c r="A164" s="129"/>
      <c r="B164" s="49" t="s">
        <v>230</v>
      </c>
      <c r="C164" s="131" t="s">
        <v>61</v>
      </c>
      <c r="D164" s="131" t="s">
        <v>224</v>
      </c>
      <c r="E164" s="133" t="s">
        <v>275</v>
      </c>
      <c r="F164" s="131"/>
      <c r="G164" s="132">
        <f>G165</f>
        <v>204.08163</v>
      </c>
    </row>
    <row r="165" spans="1:7" ht="15.75">
      <c r="A165" s="129"/>
      <c r="B165" s="41" t="s">
        <v>337</v>
      </c>
      <c r="C165" s="131" t="s">
        <v>61</v>
      </c>
      <c r="D165" s="131" t="s">
        <v>224</v>
      </c>
      <c r="E165" s="133" t="s">
        <v>275</v>
      </c>
      <c r="F165" s="131" t="s">
        <v>18</v>
      </c>
      <c r="G165" s="132">
        <f>'прил 4'!G164</f>
        <v>204.08163</v>
      </c>
    </row>
    <row r="166" spans="1:7" s="4" customFormat="1" ht="15.75">
      <c r="A166" s="125">
        <v>5</v>
      </c>
      <c r="B166" s="126" t="s">
        <v>66</v>
      </c>
      <c r="C166" s="127" t="s">
        <v>67</v>
      </c>
      <c r="D166" s="127"/>
      <c r="E166" s="127"/>
      <c r="F166" s="127"/>
      <c r="G166" s="128">
        <f>G167+G199+G215+G247</f>
        <v>1545091.12932</v>
      </c>
    </row>
    <row r="167" spans="1:7" ht="15.75">
      <c r="A167" s="129"/>
      <c r="B167" s="130" t="s">
        <v>68</v>
      </c>
      <c r="C167" s="131" t="s">
        <v>67</v>
      </c>
      <c r="D167" s="131" t="s">
        <v>8</v>
      </c>
      <c r="E167" s="131"/>
      <c r="F167" s="131"/>
      <c r="G167" s="132">
        <f>G172+G175+G168+G188+G192</f>
        <v>517685.41736</v>
      </c>
    </row>
    <row r="168" spans="1:8" ht="31.5">
      <c r="A168" s="129"/>
      <c r="B168" s="41" t="s">
        <v>241</v>
      </c>
      <c r="C168" s="131" t="s">
        <v>67</v>
      </c>
      <c r="D168" s="131" t="s">
        <v>8</v>
      </c>
      <c r="E168" s="133" t="s">
        <v>109</v>
      </c>
      <c r="F168" s="139"/>
      <c r="G168" s="132">
        <f>G169</f>
        <v>8421.0695</v>
      </c>
      <c r="H168" s="171"/>
    </row>
    <row r="169" spans="1:7" ht="63">
      <c r="A169" s="129"/>
      <c r="B169" s="56" t="s">
        <v>177</v>
      </c>
      <c r="C169" s="131" t="s">
        <v>67</v>
      </c>
      <c r="D169" s="131" t="s">
        <v>8</v>
      </c>
      <c r="E169" s="133" t="s">
        <v>118</v>
      </c>
      <c r="F169" s="139"/>
      <c r="G169" s="132">
        <f>G170+G171</f>
        <v>8421.0695</v>
      </c>
    </row>
    <row r="170" spans="1:7" ht="15.75">
      <c r="A170" s="129"/>
      <c r="B170" s="41" t="s">
        <v>337</v>
      </c>
      <c r="C170" s="131" t="s">
        <v>67</v>
      </c>
      <c r="D170" s="131" t="s">
        <v>8</v>
      </c>
      <c r="E170" s="133" t="s">
        <v>118</v>
      </c>
      <c r="F170" s="139" t="s">
        <v>18</v>
      </c>
      <c r="G170" s="132">
        <f>'прил 4'!G318</f>
        <v>8364.78726</v>
      </c>
    </row>
    <row r="171" spans="1:7" ht="15.75">
      <c r="A171" s="129"/>
      <c r="B171" s="62" t="s">
        <v>19</v>
      </c>
      <c r="C171" s="131" t="s">
        <v>67</v>
      </c>
      <c r="D171" s="131" t="s">
        <v>8</v>
      </c>
      <c r="E171" s="133" t="s">
        <v>118</v>
      </c>
      <c r="F171" s="139" t="s">
        <v>20</v>
      </c>
      <c r="G171" s="132">
        <f>'прил 4'!G319</f>
        <v>56.28224</v>
      </c>
    </row>
    <row r="172" spans="1:7" ht="31.5">
      <c r="A172" s="129"/>
      <c r="B172" s="41" t="s">
        <v>219</v>
      </c>
      <c r="C172" s="131" t="s">
        <v>67</v>
      </c>
      <c r="D172" s="131" t="s">
        <v>8</v>
      </c>
      <c r="E172" s="133" t="s">
        <v>70</v>
      </c>
      <c r="F172" s="131"/>
      <c r="G172" s="132">
        <f>G173</f>
        <v>1000</v>
      </c>
    </row>
    <row r="173" spans="1:7" ht="78.75">
      <c r="A173" s="129"/>
      <c r="B173" s="49" t="s">
        <v>71</v>
      </c>
      <c r="C173" s="131" t="s">
        <v>67</v>
      </c>
      <c r="D173" s="131" t="s">
        <v>8</v>
      </c>
      <c r="E173" s="133" t="s">
        <v>72</v>
      </c>
      <c r="F173" s="131"/>
      <c r="G173" s="132">
        <f>G174</f>
        <v>1000</v>
      </c>
    </row>
    <row r="174" spans="1:7" ht="15.75">
      <c r="A174" s="129"/>
      <c r="B174" s="41" t="s">
        <v>337</v>
      </c>
      <c r="C174" s="131" t="s">
        <v>67</v>
      </c>
      <c r="D174" s="131" t="s">
        <v>8</v>
      </c>
      <c r="E174" s="133" t="s">
        <v>72</v>
      </c>
      <c r="F174" s="131" t="s">
        <v>18</v>
      </c>
      <c r="G174" s="132">
        <f>'прил 4'!G169</f>
        <v>1000</v>
      </c>
    </row>
    <row r="175" spans="1:7" ht="31.5">
      <c r="A175" s="129"/>
      <c r="B175" s="49" t="s">
        <v>178</v>
      </c>
      <c r="C175" s="131" t="s">
        <v>67</v>
      </c>
      <c r="D175" s="131" t="s">
        <v>8</v>
      </c>
      <c r="E175" s="133" t="s">
        <v>114</v>
      </c>
      <c r="F175" s="131"/>
      <c r="G175" s="132">
        <f>G179+G176</f>
        <v>13278.41421</v>
      </c>
    </row>
    <row r="176" spans="1:7" ht="31.5">
      <c r="A176" s="129"/>
      <c r="B176" s="49" t="s">
        <v>328</v>
      </c>
      <c r="C176" s="131" t="s">
        <v>67</v>
      </c>
      <c r="D176" s="131" t="s">
        <v>8</v>
      </c>
      <c r="E176" s="133" t="s">
        <v>322</v>
      </c>
      <c r="F176" s="131"/>
      <c r="G176" s="132">
        <f>G177</f>
        <v>50</v>
      </c>
    </row>
    <row r="177" spans="1:7" ht="78.75">
      <c r="A177" s="129"/>
      <c r="B177" s="49" t="s">
        <v>331</v>
      </c>
      <c r="C177" s="131" t="s">
        <v>67</v>
      </c>
      <c r="D177" s="131" t="s">
        <v>8</v>
      </c>
      <c r="E177" s="133" t="s">
        <v>324</v>
      </c>
      <c r="F177" s="131"/>
      <c r="G177" s="132">
        <f>G178</f>
        <v>50</v>
      </c>
    </row>
    <row r="178" spans="1:7" ht="15.75">
      <c r="A178" s="129"/>
      <c r="B178" s="41" t="s">
        <v>337</v>
      </c>
      <c r="C178" s="131" t="s">
        <v>67</v>
      </c>
      <c r="D178" s="131" t="s">
        <v>8</v>
      </c>
      <c r="E178" s="133" t="s">
        <v>324</v>
      </c>
      <c r="F178" s="131" t="s">
        <v>18</v>
      </c>
      <c r="G178" s="132">
        <f>'прил 4'!G323</f>
        <v>50</v>
      </c>
    </row>
    <row r="179" spans="1:7" ht="31.5">
      <c r="A179" s="129"/>
      <c r="B179" s="49" t="s">
        <v>179</v>
      </c>
      <c r="C179" s="131" t="s">
        <v>67</v>
      </c>
      <c r="D179" s="131" t="s">
        <v>8</v>
      </c>
      <c r="E179" s="133" t="s">
        <v>180</v>
      </c>
      <c r="F179" s="131"/>
      <c r="G179" s="132">
        <f>G180+G184+G186+G182</f>
        <v>13228.41421</v>
      </c>
    </row>
    <row r="180" spans="1:7" ht="63">
      <c r="A180" s="129"/>
      <c r="B180" s="49" t="s">
        <v>262</v>
      </c>
      <c r="C180" s="133" t="s">
        <v>67</v>
      </c>
      <c r="D180" s="133" t="s">
        <v>8</v>
      </c>
      <c r="E180" s="133" t="s">
        <v>261</v>
      </c>
      <c r="F180" s="131"/>
      <c r="G180" s="132">
        <f>'прил 4'!G173</f>
        <v>6000</v>
      </c>
    </row>
    <row r="181" spans="1:7" ht="15.75">
      <c r="A181" s="129"/>
      <c r="B181" s="41" t="s">
        <v>337</v>
      </c>
      <c r="C181" s="133" t="s">
        <v>67</v>
      </c>
      <c r="D181" s="133" t="s">
        <v>8</v>
      </c>
      <c r="E181" s="133" t="s">
        <v>261</v>
      </c>
      <c r="F181" s="131" t="s">
        <v>18</v>
      </c>
      <c r="G181" s="132">
        <f>'прил 4'!G173</f>
        <v>6000</v>
      </c>
    </row>
    <row r="182" spans="1:7" ht="110.25">
      <c r="A182" s="129"/>
      <c r="B182" s="56" t="s">
        <v>413</v>
      </c>
      <c r="C182" s="133" t="s">
        <v>67</v>
      </c>
      <c r="D182" s="133" t="s">
        <v>8</v>
      </c>
      <c r="E182" s="155" t="s">
        <v>410</v>
      </c>
      <c r="F182" s="150"/>
      <c r="G182" s="132">
        <f>G183</f>
        <v>4121.90242</v>
      </c>
    </row>
    <row r="183" spans="1:7" ht="15.75">
      <c r="A183" s="129"/>
      <c r="B183" s="41" t="s">
        <v>340</v>
      </c>
      <c r="C183" s="133" t="s">
        <v>67</v>
      </c>
      <c r="D183" s="133" t="s">
        <v>8</v>
      </c>
      <c r="E183" s="155" t="s">
        <v>410</v>
      </c>
      <c r="F183" s="150" t="s">
        <v>342</v>
      </c>
      <c r="G183" s="132">
        <f>'прил 4'!G326</f>
        <v>4121.90242</v>
      </c>
    </row>
    <row r="184" spans="1:7" ht="94.5">
      <c r="A184" s="129"/>
      <c r="B184" s="56" t="s">
        <v>416</v>
      </c>
      <c r="C184" s="133" t="s">
        <v>67</v>
      </c>
      <c r="D184" s="133" t="s">
        <v>8</v>
      </c>
      <c r="E184" s="155" t="s">
        <v>383</v>
      </c>
      <c r="F184" s="150"/>
      <c r="G184" s="132">
        <f>G185</f>
        <v>3100.8511</v>
      </c>
    </row>
    <row r="185" spans="1:7" ht="15.75">
      <c r="A185" s="129"/>
      <c r="B185" s="41" t="s">
        <v>340</v>
      </c>
      <c r="C185" s="133" t="s">
        <v>67</v>
      </c>
      <c r="D185" s="133" t="s">
        <v>8</v>
      </c>
      <c r="E185" s="155" t="s">
        <v>383</v>
      </c>
      <c r="F185" s="150" t="s">
        <v>342</v>
      </c>
      <c r="G185" s="132">
        <f>'прил 4'!G329</f>
        <v>3100.8511</v>
      </c>
    </row>
    <row r="186" spans="1:7" ht="94.5">
      <c r="A186" s="129"/>
      <c r="B186" s="49" t="s">
        <v>418</v>
      </c>
      <c r="C186" s="133" t="s">
        <v>67</v>
      </c>
      <c r="D186" s="133" t="s">
        <v>8</v>
      </c>
      <c r="E186" s="155" t="s">
        <v>385</v>
      </c>
      <c r="F186" s="150"/>
      <c r="G186" s="132">
        <f>G187</f>
        <v>5.66069</v>
      </c>
    </row>
    <row r="187" spans="1:7" ht="15.75">
      <c r="A187" s="129"/>
      <c r="B187" s="41" t="s">
        <v>340</v>
      </c>
      <c r="C187" s="133" t="s">
        <v>67</v>
      </c>
      <c r="D187" s="133" t="s">
        <v>8</v>
      </c>
      <c r="E187" s="155" t="s">
        <v>385</v>
      </c>
      <c r="F187" s="150" t="s">
        <v>342</v>
      </c>
      <c r="G187" s="132">
        <f>'прил 4'!G332</f>
        <v>5.66069</v>
      </c>
    </row>
    <row r="188" spans="1:7" ht="31.5">
      <c r="A188" s="129"/>
      <c r="B188" s="49" t="s">
        <v>391</v>
      </c>
      <c r="C188" s="133" t="s">
        <v>67</v>
      </c>
      <c r="D188" s="133" t="s">
        <v>8</v>
      </c>
      <c r="E188" s="133" t="s">
        <v>392</v>
      </c>
      <c r="F188" s="139"/>
      <c r="G188" s="132">
        <f>G189</f>
        <v>732</v>
      </c>
    </row>
    <row r="189" spans="1:7" ht="31.5">
      <c r="A189" s="129"/>
      <c r="B189" s="49" t="s">
        <v>393</v>
      </c>
      <c r="C189" s="133" t="s">
        <v>67</v>
      </c>
      <c r="D189" s="133" t="s">
        <v>8</v>
      </c>
      <c r="E189" s="133" t="s">
        <v>394</v>
      </c>
      <c r="F189" s="139"/>
      <c r="G189" s="132">
        <f>G190</f>
        <v>732</v>
      </c>
    </row>
    <row r="190" spans="1:7" ht="78.75">
      <c r="A190" s="129"/>
      <c r="B190" s="49" t="s">
        <v>395</v>
      </c>
      <c r="C190" s="133" t="s">
        <v>67</v>
      </c>
      <c r="D190" s="133" t="s">
        <v>8</v>
      </c>
      <c r="E190" s="133" t="s">
        <v>396</v>
      </c>
      <c r="F190" s="139"/>
      <c r="G190" s="132">
        <f>G191</f>
        <v>732</v>
      </c>
    </row>
    <row r="191" spans="1:7" ht="15.75">
      <c r="A191" s="129"/>
      <c r="B191" s="41" t="s">
        <v>397</v>
      </c>
      <c r="C191" s="133" t="s">
        <v>67</v>
      </c>
      <c r="D191" s="133" t="s">
        <v>8</v>
      </c>
      <c r="E191" s="133" t="s">
        <v>396</v>
      </c>
      <c r="F191" s="139" t="s">
        <v>18</v>
      </c>
      <c r="G191" s="132">
        <f>'прил 4'!G174</f>
        <v>732</v>
      </c>
    </row>
    <row r="192" spans="1:7" ht="31.5">
      <c r="A192" s="129"/>
      <c r="B192" s="41" t="s">
        <v>404</v>
      </c>
      <c r="C192" s="133" t="s">
        <v>67</v>
      </c>
      <c r="D192" s="133" t="s">
        <v>8</v>
      </c>
      <c r="E192" s="155" t="s">
        <v>405</v>
      </c>
      <c r="F192" s="42"/>
      <c r="G192" s="132">
        <f>G193+G195+G197</f>
        <v>494253.93365</v>
      </c>
    </row>
    <row r="193" spans="1:7" ht="94.5">
      <c r="A193" s="129"/>
      <c r="B193" s="49" t="s">
        <v>414</v>
      </c>
      <c r="C193" s="133" t="s">
        <v>67</v>
      </c>
      <c r="D193" s="133" t="s">
        <v>8</v>
      </c>
      <c r="E193" s="155" t="s">
        <v>406</v>
      </c>
      <c r="F193" s="42"/>
      <c r="G193" s="132">
        <f>G194</f>
        <v>388949.93572</v>
      </c>
    </row>
    <row r="194" spans="1:7" ht="15.75">
      <c r="A194" s="129"/>
      <c r="B194" s="62" t="s">
        <v>340</v>
      </c>
      <c r="C194" s="133" t="s">
        <v>67</v>
      </c>
      <c r="D194" s="133" t="s">
        <v>8</v>
      </c>
      <c r="E194" s="43" t="s">
        <v>406</v>
      </c>
      <c r="F194" s="42" t="s">
        <v>342</v>
      </c>
      <c r="G194" s="132">
        <f>'прил 4'!G335</f>
        <v>388949.93572</v>
      </c>
    </row>
    <row r="195" spans="1:7" ht="78.75">
      <c r="A195" s="129"/>
      <c r="B195" s="49" t="s">
        <v>415</v>
      </c>
      <c r="C195" s="133" t="s">
        <v>67</v>
      </c>
      <c r="D195" s="133" t="s">
        <v>8</v>
      </c>
      <c r="E195" s="155" t="s">
        <v>407</v>
      </c>
      <c r="F195" s="42"/>
      <c r="G195" s="132">
        <f>G196</f>
        <v>104809.744</v>
      </c>
    </row>
    <row r="196" spans="1:7" ht="15.75">
      <c r="A196" s="129"/>
      <c r="B196" s="62" t="s">
        <v>340</v>
      </c>
      <c r="C196" s="133" t="s">
        <v>67</v>
      </c>
      <c r="D196" s="133" t="s">
        <v>8</v>
      </c>
      <c r="E196" s="43" t="s">
        <v>407</v>
      </c>
      <c r="F196" s="42" t="s">
        <v>342</v>
      </c>
      <c r="G196" s="132">
        <f>'прил 4'!G338</f>
        <v>104809.744</v>
      </c>
    </row>
    <row r="197" spans="1:7" ht="78.75">
      <c r="A197" s="129"/>
      <c r="B197" s="49" t="s">
        <v>417</v>
      </c>
      <c r="C197" s="133" t="s">
        <v>67</v>
      </c>
      <c r="D197" s="133" t="s">
        <v>8</v>
      </c>
      <c r="E197" s="155" t="s">
        <v>409</v>
      </c>
      <c r="F197" s="42"/>
      <c r="G197" s="132">
        <f>G198</f>
        <v>494.25393</v>
      </c>
    </row>
    <row r="198" spans="1:7" ht="15.75">
      <c r="A198" s="129"/>
      <c r="B198" s="62" t="s">
        <v>340</v>
      </c>
      <c r="C198" s="133" t="s">
        <v>67</v>
      </c>
      <c r="D198" s="133" t="s">
        <v>8</v>
      </c>
      <c r="E198" s="43" t="s">
        <v>409</v>
      </c>
      <c r="F198" s="42" t="s">
        <v>342</v>
      </c>
      <c r="G198" s="132">
        <f>'прил 4'!G341</f>
        <v>494.25393</v>
      </c>
    </row>
    <row r="199" spans="1:7" ht="15.75">
      <c r="A199" s="129"/>
      <c r="B199" s="41" t="s">
        <v>73</v>
      </c>
      <c r="C199" s="131" t="s">
        <v>67</v>
      </c>
      <c r="D199" s="131" t="s">
        <v>171</v>
      </c>
      <c r="E199" s="131"/>
      <c r="F199" s="131"/>
      <c r="G199" s="132">
        <f>G200+G210</f>
        <v>502240.9278</v>
      </c>
    </row>
    <row r="200" spans="1:7" ht="47.25">
      <c r="A200" s="129"/>
      <c r="B200" s="41" t="s">
        <v>212</v>
      </c>
      <c r="C200" s="131" t="s">
        <v>67</v>
      </c>
      <c r="D200" s="131" t="s">
        <v>171</v>
      </c>
      <c r="E200" s="133" t="s">
        <v>76</v>
      </c>
      <c r="F200" s="131"/>
      <c r="G200" s="132">
        <f>G201</f>
        <v>489567.9278</v>
      </c>
    </row>
    <row r="201" spans="1:7" ht="31.5">
      <c r="A201" s="129"/>
      <c r="B201" s="53" t="s">
        <v>211</v>
      </c>
      <c r="C201" s="131" t="s">
        <v>67</v>
      </c>
      <c r="D201" s="131" t="s">
        <v>171</v>
      </c>
      <c r="E201" s="133" t="s">
        <v>77</v>
      </c>
      <c r="F201" s="131"/>
      <c r="G201" s="132">
        <f>G202+G206+G208+G204</f>
        <v>489567.9278</v>
      </c>
    </row>
    <row r="202" spans="1:7" ht="78.75">
      <c r="A202" s="129"/>
      <c r="B202" s="49" t="s">
        <v>78</v>
      </c>
      <c r="C202" s="133" t="s">
        <v>67</v>
      </c>
      <c r="D202" s="133" t="s">
        <v>171</v>
      </c>
      <c r="E202" s="133" t="s">
        <v>79</v>
      </c>
      <c r="F202" s="131"/>
      <c r="G202" s="132">
        <f>G203</f>
        <v>299.99541</v>
      </c>
    </row>
    <row r="203" spans="1:7" ht="15.75">
      <c r="A203" s="129"/>
      <c r="B203" s="41" t="s">
        <v>337</v>
      </c>
      <c r="C203" s="133" t="s">
        <v>67</v>
      </c>
      <c r="D203" s="133" t="s">
        <v>171</v>
      </c>
      <c r="E203" s="133" t="s">
        <v>79</v>
      </c>
      <c r="F203" s="131" t="s">
        <v>18</v>
      </c>
      <c r="G203" s="132">
        <f>'прил 4'!G182</f>
        <v>299.99541</v>
      </c>
    </row>
    <row r="204" spans="1:7" ht="63">
      <c r="A204" s="129"/>
      <c r="B204" s="49" t="s">
        <v>419</v>
      </c>
      <c r="C204" s="133" t="s">
        <v>67</v>
      </c>
      <c r="D204" s="133" t="s">
        <v>171</v>
      </c>
      <c r="E204" s="155" t="s">
        <v>420</v>
      </c>
      <c r="F204" s="150"/>
      <c r="G204" s="132">
        <f>G205</f>
        <v>1373.32621</v>
      </c>
    </row>
    <row r="205" spans="1:7" ht="15.75">
      <c r="A205" s="129"/>
      <c r="B205" s="41" t="s">
        <v>340</v>
      </c>
      <c r="C205" s="133" t="s">
        <v>67</v>
      </c>
      <c r="D205" s="133" t="s">
        <v>171</v>
      </c>
      <c r="E205" s="155" t="s">
        <v>420</v>
      </c>
      <c r="F205" s="150" t="s">
        <v>342</v>
      </c>
      <c r="G205" s="132">
        <f>'прил 4'!G345</f>
        <v>1373.32621</v>
      </c>
    </row>
    <row r="206" spans="1:7" ht="63">
      <c r="A206" s="129"/>
      <c r="B206" s="49" t="s">
        <v>368</v>
      </c>
      <c r="C206" s="133" t="s">
        <v>67</v>
      </c>
      <c r="D206" s="133" t="s">
        <v>171</v>
      </c>
      <c r="E206" s="155" t="s">
        <v>341</v>
      </c>
      <c r="F206" s="42"/>
      <c r="G206" s="132">
        <f>G207</f>
        <v>478136.714</v>
      </c>
    </row>
    <row r="207" spans="1:7" ht="15.75">
      <c r="A207" s="129"/>
      <c r="B207" s="41" t="s">
        <v>340</v>
      </c>
      <c r="C207" s="133" t="s">
        <v>67</v>
      </c>
      <c r="D207" s="133" t="s">
        <v>171</v>
      </c>
      <c r="E207" s="155" t="s">
        <v>341</v>
      </c>
      <c r="F207" s="42" t="s">
        <v>342</v>
      </c>
      <c r="G207" s="132">
        <f>'прил 4'!G348</f>
        <v>478136.714</v>
      </c>
    </row>
    <row r="208" spans="1:7" ht="63">
      <c r="A208" s="129"/>
      <c r="B208" s="49" t="s">
        <v>367</v>
      </c>
      <c r="C208" s="133" t="s">
        <v>67</v>
      </c>
      <c r="D208" s="133" t="s">
        <v>171</v>
      </c>
      <c r="E208" s="155" t="s">
        <v>356</v>
      </c>
      <c r="F208" s="42"/>
      <c r="G208" s="132">
        <f>G209</f>
        <v>9757.89218</v>
      </c>
    </row>
    <row r="209" spans="1:7" ht="15.75">
      <c r="A209" s="129"/>
      <c r="B209" s="41" t="s">
        <v>340</v>
      </c>
      <c r="C209" s="133" t="s">
        <v>67</v>
      </c>
      <c r="D209" s="133" t="s">
        <v>171</v>
      </c>
      <c r="E209" s="155" t="s">
        <v>356</v>
      </c>
      <c r="F209" s="42" t="s">
        <v>342</v>
      </c>
      <c r="G209" s="132">
        <f>'прил 4'!G351</f>
        <v>9757.89218</v>
      </c>
    </row>
    <row r="210" spans="1:7" ht="15.75">
      <c r="A210" s="129"/>
      <c r="B210" s="41" t="s">
        <v>9</v>
      </c>
      <c r="C210" s="131" t="s">
        <v>67</v>
      </c>
      <c r="D210" s="131" t="s">
        <v>171</v>
      </c>
      <c r="E210" s="133" t="s">
        <v>10</v>
      </c>
      <c r="F210" s="131"/>
      <c r="G210" s="132">
        <f>G211+G213</f>
        <v>12673</v>
      </c>
    </row>
    <row r="211" spans="1:9" ht="47.25">
      <c r="A211" s="129"/>
      <c r="B211" s="41" t="s">
        <v>105</v>
      </c>
      <c r="C211" s="131" t="s">
        <v>67</v>
      </c>
      <c r="D211" s="131" t="s">
        <v>171</v>
      </c>
      <c r="E211" s="133" t="s">
        <v>106</v>
      </c>
      <c r="F211" s="131"/>
      <c r="G211" s="132">
        <f>G212</f>
        <v>11673</v>
      </c>
      <c r="H211" s="5"/>
      <c r="I211" s="5"/>
    </row>
    <row r="212" spans="1:9" ht="15.75">
      <c r="A212" s="129"/>
      <c r="B212" s="41" t="s">
        <v>19</v>
      </c>
      <c r="C212" s="131" t="s">
        <v>67</v>
      </c>
      <c r="D212" s="131" t="s">
        <v>171</v>
      </c>
      <c r="E212" s="133" t="s">
        <v>106</v>
      </c>
      <c r="F212" s="131" t="s">
        <v>20</v>
      </c>
      <c r="G212" s="132">
        <f>'прил 4'!G185</f>
        <v>11673</v>
      </c>
      <c r="H212" s="5"/>
      <c r="I212" s="5"/>
    </row>
    <row r="213" spans="1:9" ht="30.75" customHeight="1">
      <c r="A213" s="129"/>
      <c r="B213" s="44" t="s">
        <v>220</v>
      </c>
      <c r="C213" s="131" t="s">
        <v>67</v>
      </c>
      <c r="D213" s="131" t="s">
        <v>171</v>
      </c>
      <c r="E213" s="133" t="s">
        <v>221</v>
      </c>
      <c r="F213" s="131"/>
      <c r="G213" s="132">
        <f>G214</f>
        <v>1000</v>
      </c>
      <c r="H213" s="5"/>
      <c r="I213" s="5"/>
    </row>
    <row r="214" spans="1:9" ht="15.75">
      <c r="A214" s="129"/>
      <c r="B214" s="41" t="s">
        <v>19</v>
      </c>
      <c r="C214" s="131" t="s">
        <v>67</v>
      </c>
      <c r="D214" s="131" t="s">
        <v>171</v>
      </c>
      <c r="E214" s="133" t="s">
        <v>221</v>
      </c>
      <c r="F214" s="131" t="s">
        <v>20</v>
      </c>
      <c r="G214" s="132">
        <f>'прил 4'!G187</f>
        <v>1000</v>
      </c>
      <c r="H214" s="5"/>
      <c r="I214" s="5"/>
    </row>
    <row r="215" spans="1:9" ht="15.75">
      <c r="A215" s="129"/>
      <c r="B215" s="41" t="s">
        <v>80</v>
      </c>
      <c r="C215" s="131" t="s">
        <v>67</v>
      </c>
      <c r="D215" s="131" t="s">
        <v>149</v>
      </c>
      <c r="E215" s="131"/>
      <c r="F215" s="131"/>
      <c r="G215" s="132">
        <f>G216+G236</f>
        <v>453370.28388000006</v>
      </c>
      <c r="H215" s="5"/>
      <c r="I215" s="5"/>
    </row>
    <row r="216" spans="1:9" ht="31.5">
      <c r="A216" s="129"/>
      <c r="B216" s="41" t="s">
        <v>183</v>
      </c>
      <c r="C216" s="131" t="s">
        <v>67</v>
      </c>
      <c r="D216" s="140" t="s">
        <v>149</v>
      </c>
      <c r="E216" s="133" t="s">
        <v>64</v>
      </c>
      <c r="F216" s="131"/>
      <c r="G216" s="132">
        <f>G217+G227</f>
        <v>318807.40216000006</v>
      </c>
      <c r="H216" s="5"/>
      <c r="I216" s="5"/>
    </row>
    <row r="217" spans="1:7" ht="15.75">
      <c r="A217" s="129"/>
      <c r="B217" s="41" t="s">
        <v>82</v>
      </c>
      <c r="C217" s="131" t="s">
        <v>67</v>
      </c>
      <c r="D217" s="140" t="s">
        <v>149</v>
      </c>
      <c r="E217" s="133" t="s">
        <v>83</v>
      </c>
      <c r="F217" s="131"/>
      <c r="G217" s="132">
        <f>G224+G218+G220+G222</f>
        <v>253171.68268000003</v>
      </c>
    </row>
    <row r="218" spans="1:7" ht="94.5">
      <c r="A218" s="129"/>
      <c r="B218" s="49" t="s">
        <v>295</v>
      </c>
      <c r="C218" s="131" t="s">
        <v>67</v>
      </c>
      <c r="D218" s="140" t="s">
        <v>149</v>
      </c>
      <c r="E218" s="133" t="s">
        <v>294</v>
      </c>
      <c r="F218" s="139"/>
      <c r="G218" s="132">
        <f>G219</f>
        <v>929.4026700000084</v>
      </c>
    </row>
    <row r="219" spans="1:7" ht="15.75">
      <c r="A219" s="129"/>
      <c r="B219" s="41" t="s">
        <v>337</v>
      </c>
      <c r="C219" s="131" t="s">
        <v>67</v>
      </c>
      <c r="D219" s="140" t="s">
        <v>149</v>
      </c>
      <c r="E219" s="133" t="s">
        <v>294</v>
      </c>
      <c r="F219" s="139" t="s">
        <v>18</v>
      </c>
      <c r="G219" s="132">
        <f>'прил 4'!G192</f>
        <v>929.4026700000084</v>
      </c>
    </row>
    <row r="220" spans="1:7" ht="47.25">
      <c r="A220" s="129"/>
      <c r="B220" s="49" t="s">
        <v>338</v>
      </c>
      <c r="C220" s="131" t="s">
        <v>67</v>
      </c>
      <c r="D220" s="140" t="s">
        <v>149</v>
      </c>
      <c r="E220" s="155" t="s">
        <v>339</v>
      </c>
      <c r="F220" s="42"/>
      <c r="G220" s="132">
        <f>G221</f>
        <v>89912.69</v>
      </c>
    </row>
    <row r="221" spans="1:7" ht="15.75">
      <c r="A221" s="129"/>
      <c r="B221" s="41" t="s">
        <v>337</v>
      </c>
      <c r="C221" s="131" t="s">
        <v>67</v>
      </c>
      <c r="D221" s="140" t="s">
        <v>149</v>
      </c>
      <c r="E221" s="155" t="s">
        <v>339</v>
      </c>
      <c r="F221" s="42" t="s">
        <v>18</v>
      </c>
      <c r="G221" s="132">
        <f>'прил 4'!G194</f>
        <v>89912.69</v>
      </c>
    </row>
    <row r="222" spans="1:7" ht="47.25">
      <c r="A222" s="129"/>
      <c r="B222" s="49" t="s">
        <v>365</v>
      </c>
      <c r="C222" s="131" t="s">
        <v>67</v>
      </c>
      <c r="D222" s="140" t="s">
        <v>149</v>
      </c>
      <c r="E222" s="155" t="s">
        <v>403</v>
      </c>
      <c r="F222" s="42"/>
      <c r="G222" s="132">
        <f>G223</f>
        <v>150000</v>
      </c>
    </row>
    <row r="223" spans="1:7" ht="31.5">
      <c r="A223" s="129"/>
      <c r="B223" s="41" t="s">
        <v>58</v>
      </c>
      <c r="C223" s="131" t="s">
        <v>67</v>
      </c>
      <c r="D223" s="140" t="s">
        <v>149</v>
      </c>
      <c r="E223" s="155" t="s">
        <v>403</v>
      </c>
      <c r="F223" s="42" t="s">
        <v>59</v>
      </c>
      <c r="G223" s="132">
        <f>'прил 4'!G197</f>
        <v>150000</v>
      </c>
    </row>
    <row r="224" spans="1:7" ht="31.5">
      <c r="A224" s="129"/>
      <c r="B224" s="49" t="s">
        <v>291</v>
      </c>
      <c r="C224" s="131" t="s">
        <v>67</v>
      </c>
      <c r="D224" s="140" t="s">
        <v>149</v>
      </c>
      <c r="E224" s="133" t="s">
        <v>270</v>
      </c>
      <c r="F224" s="131"/>
      <c r="G224" s="132">
        <f>G226+G225</f>
        <v>12329.59001</v>
      </c>
    </row>
    <row r="225" spans="1:7" ht="15.75">
      <c r="A225" s="129"/>
      <c r="B225" s="41" t="s">
        <v>337</v>
      </c>
      <c r="C225" s="131" t="s">
        <v>67</v>
      </c>
      <c r="D225" s="131" t="s">
        <v>149</v>
      </c>
      <c r="E225" s="133" t="s">
        <v>270</v>
      </c>
      <c r="F225" s="131" t="s">
        <v>18</v>
      </c>
      <c r="G225" s="132">
        <f>'прил 4'!G200</f>
        <v>6545.52716</v>
      </c>
    </row>
    <row r="226" spans="1:7" ht="15.75">
      <c r="A226" s="129"/>
      <c r="B226" s="41" t="s">
        <v>19</v>
      </c>
      <c r="C226" s="131" t="s">
        <v>67</v>
      </c>
      <c r="D226" s="131" t="s">
        <v>149</v>
      </c>
      <c r="E226" s="133" t="s">
        <v>270</v>
      </c>
      <c r="F226" s="131" t="s">
        <v>20</v>
      </c>
      <c r="G226" s="132">
        <f>'прил 4'!G204</f>
        <v>5784.06285</v>
      </c>
    </row>
    <row r="227" spans="1:8" ht="15.75">
      <c r="A227" s="129"/>
      <c r="B227" s="49" t="s">
        <v>122</v>
      </c>
      <c r="C227" s="131" t="s">
        <v>67</v>
      </c>
      <c r="D227" s="131" t="s">
        <v>149</v>
      </c>
      <c r="E227" s="133" t="s">
        <v>65</v>
      </c>
      <c r="F227" s="131"/>
      <c r="G227" s="132">
        <f>G228+G231+G233</f>
        <v>65635.71948</v>
      </c>
      <c r="H227" s="171"/>
    </row>
    <row r="228" spans="1:7" ht="78.75">
      <c r="A228" s="129"/>
      <c r="B228" s="53" t="s">
        <v>236</v>
      </c>
      <c r="C228" s="131" t="s">
        <v>67</v>
      </c>
      <c r="D228" s="131" t="s">
        <v>149</v>
      </c>
      <c r="E228" s="133" t="s">
        <v>237</v>
      </c>
      <c r="F228" s="131"/>
      <c r="G228" s="132">
        <f>G229+G230</f>
        <v>15774.55733</v>
      </c>
    </row>
    <row r="229" spans="1:7" ht="15.75">
      <c r="A229" s="129"/>
      <c r="B229" s="41" t="s">
        <v>337</v>
      </c>
      <c r="C229" s="131" t="s">
        <v>67</v>
      </c>
      <c r="D229" s="131" t="s">
        <v>149</v>
      </c>
      <c r="E229" s="133" t="s">
        <v>237</v>
      </c>
      <c r="F229" s="131" t="s">
        <v>18</v>
      </c>
      <c r="G229" s="132">
        <f>'прил 4'!G210+'прил 4'!G400</f>
        <v>4980</v>
      </c>
    </row>
    <row r="230" spans="1:7" ht="31.5">
      <c r="A230" s="129"/>
      <c r="B230" s="41" t="s">
        <v>58</v>
      </c>
      <c r="C230" s="131" t="s">
        <v>67</v>
      </c>
      <c r="D230" s="131" t="s">
        <v>149</v>
      </c>
      <c r="E230" s="133" t="s">
        <v>237</v>
      </c>
      <c r="F230" s="131" t="s">
        <v>59</v>
      </c>
      <c r="G230" s="132">
        <f>'прил 4'!G212+'прил 4'!G418</f>
        <v>10794.55733</v>
      </c>
    </row>
    <row r="231" spans="1:7" ht="78.75">
      <c r="A231" s="129"/>
      <c r="B231" s="49" t="s">
        <v>355</v>
      </c>
      <c r="C231" s="131" t="s">
        <v>67</v>
      </c>
      <c r="D231" s="131" t="s">
        <v>149</v>
      </c>
      <c r="E231" s="133" t="s">
        <v>354</v>
      </c>
      <c r="F231" s="131"/>
      <c r="G231" s="132">
        <f>G232</f>
        <v>14361.16215</v>
      </c>
    </row>
    <row r="232" spans="1:7" ht="31.5">
      <c r="A232" s="129"/>
      <c r="B232" s="41" t="s">
        <v>58</v>
      </c>
      <c r="C232" s="131" t="s">
        <v>67</v>
      </c>
      <c r="D232" s="131" t="s">
        <v>149</v>
      </c>
      <c r="E232" s="133" t="s">
        <v>354</v>
      </c>
      <c r="F232" s="131" t="s">
        <v>59</v>
      </c>
      <c r="G232" s="132">
        <f>'прил 4'!G214+'прил 4'!G421</f>
        <v>14361.16215</v>
      </c>
    </row>
    <row r="233" spans="1:7" ht="94.5">
      <c r="A233" s="129"/>
      <c r="B233" s="67" t="s">
        <v>366</v>
      </c>
      <c r="C233" s="131" t="s">
        <v>67</v>
      </c>
      <c r="D233" s="131" t="s">
        <v>149</v>
      </c>
      <c r="E233" s="155" t="s">
        <v>359</v>
      </c>
      <c r="F233" s="131"/>
      <c r="G233" s="132">
        <f>G235+G234</f>
        <v>35500</v>
      </c>
    </row>
    <row r="234" spans="1:7" ht="15.75">
      <c r="A234" s="129"/>
      <c r="B234" s="41" t="s">
        <v>337</v>
      </c>
      <c r="C234" s="131" t="s">
        <v>67</v>
      </c>
      <c r="D234" s="131" t="s">
        <v>149</v>
      </c>
      <c r="E234" s="155" t="s">
        <v>359</v>
      </c>
      <c r="F234" s="131" t="s">
        <v>18</v>
      </c>
      <c r="G234" s="132">
        <f>'прил 4'!G216</f>
        <v>4048.43048</v>
      </c>
    </row>
    <row r="235" spans="1:7" ht="31.5">
      <c r="A235" s="129"/>
      <c r="B235" s="62" t="s">
        <v>58</v>
      </c>
      <c r="C235" s="131" t="s">
        <v>67</v>
      </c>
      <c r="D235" s="131" t="s">
        <v>149</v>
      </c>
      <c r="E235" s="155" t="s">
        <v>359</v>
      </c>
      <c r="F235" s="131" t="s">
        <v>59</v>
      </c>
      <c r="G235" s="132">
        <f>'прил 4'!G423+'прил 4'!G218</f>
        <v>31451.569519999997</v>
      </c>
    </row>
    <row r="236" spans="1:7" ht="15.75">
      <c r="A236" s="129"/>
      <c r="B236" s="41" t="s">
        <v>9</v>
      </c>
      <c r="C236" s="131" t="s">
        <v>67</v>
      </c>
      <c r="D236" s="131" t="s">
        <v>149</v>
      </c>
      <c r="E236" s="43" t="s">
        <v>10</v>
      </c>
      <c r="F236" s="131"/>
      <c r="G236" s="132">
        <f>G237+G239+G241+G243+G245</f>
        <v>134562.88172</v>
      </c>
    </row>
    <row r="237" spans="1:7" ht="31.5">
      <c r="A237" s="129"/>
      <c r="B237" s="41" t="s">
        <v>226</v>
      </c>
      <c r="C237" s="133" t="s">
        <v>67</v>
      </c>
      <c r="D237" s="133" t="s">
        <v>149</v>
      </c>
      <c r="E237" s="133" t="s">
        <v>86</v>
      </c>
      <c r="F237" s="131"/>
      <c r="G237" s="132">
        <f>G238</f>
        <v>16265.29906</v>
      </c>
    </row>
    <row r="238" spans="1:7" ht="15.75">
      <c r="A238" s="129"/>
      <c r="B238" s="41" t="s">
        <v>337</v>
      </c>
      <c r="C238" s="133" t="s">
        <v>67</v>
      </c>
      <c r="D238" s="133" t="s">
        <v>149</v>
      </c>
      <c r="E238" s="133" t="s">
        <v>86</v>
      </c>
      <c r="F238" s="131" t="s">
        <v>18</v>
      </c>
      <c r="G238" s="132">
        <f>'прил 4'!G222</f>
        <v>16265.29906</v>
      </c>
    </row>
    <row r="239" spans="1:7" ht="15.75">
      <c r="A239" s="129"/>
      <c r="B239" s="41" t="s">
        <v>87</v>
      </c>
      <c r="C239" s="133" t="s">
        <v>67</v>
      </c>
      <c r="D239" s="133" t="s">
        <v>149</v>
      </c>
      <c r="E239" s="133" t="s">
        <v>88</v>
      </c>
      <c r="F239" s="131"/>
      <c r="G239" s="132">
        <f>G240</f>
        <v>3368</v>
      </c>
    </row>
    <row r="240" spans="1:7" ht="15.75">
      <c r="A240" s="129"/>
      <c r="B240" s="41" t="s">
        <v>337</v>
      </c>
      <c r="C240" s="133" t="s">
        <v>67</v>
      </c>
      <c r="D240" s="133" t="s">
        <v>149</v>
      </c>
      <c r="E240" s="133" t="s">
        <v>88</v>
      </c>
      <c r="F240" s="131" t="s">
        <v>18</v>
      </c>
      <c r="G240" s="132">
        <f>'прил 4'!G226</f>
        <v>3368</v>
      </c>
    </row>
    <row r="241" spans="1:7" ht="15.75">
      <c r="A241" s="129"/>
      <c r="B241" s="41" t="s">
        <v>89</v>
      </c>
      <c r="C241" s="133" t="s">
        <v>67</v>
      </c>
      <c r="D241" s="133" t="s">
        <v>149</v>
      </c>
      <c r="E241" s="133" t="s">
        <v>90</v>
      </c>
      <c r="F241" s="131"/>
      <c r="G241" s="132">
        <f>G242</f>
        <v>197.60000000000008</v>
      </c>
    </row>
    <row r="242" spans="1:7" ht="15.75">
      <c r="A242" s="129"/>
      <c r="B242" s="41" t="s">
        <v>337</v>
      </c>
      <c r="C242" s="133" t="s">
        <v>67</v>
      </c>
      <c r="D242" s="133" t="s">
        <v>149</v>
      </c>
      <c r="E242" s="133" t="s">
        <v>90</v>
      </c>
      <c r="F242" s="131" t="s">
        <v>18</v>
      </c>
      <c r="G242" s="132">
        <f>'прил 4'!G228</f>
        <v>197.60000000000008</v>
      </c>
    </row>
    <row r="243" spans="1:7" ht="15.75">
      <c r="A243" s="129"/>
      <c r="B243" s="41" t="s">
        <v>91</v>
      </c>
      <c r="C243" s="133" t="s">
        <v>67</v>
      </c>
      <c r="D243" s="133" t="s">
        <v>149</v>
      </c>
      <c r="E243" s="133" t="s">
        <v>92</v>
      </c>
      <c r="F243" s="131"/>
      <c r="G243" s="132">
        <f>G244</f>
        <v>446.06231999999994</v>
      </c>
    </row>
    <row r="244" spans="1:7" ht="15.75">
      <c r="A244" s="129"/>
      <c r="B244" s="41" t="s">
        <v>337</v>
      </c>
      <c r="C244" s="133" t="s">
        <v>67</v>
      </c>
      <c r="D244" s="133" t="s">
        <v>149</v>
      </c>
      <c r="E244" s="133" t="s">
        <v>92</v>
      </c>
      <c r="F244" s="131" t="s">
        <v>18</v>
      </c>
      <c r="G244" s="132">
        <f>'прил 4'!G230</f>
        <v>446.06231999999994</v>
      </c>
    </row>
    <row r="245" spans="1:7" ht="31.5">
      <c r="A245" s="129"/>
      <c r="B245" s="41" t="s">
        <v>84</v>
      </c>
      <c r="C245" s="133" t="s">
        <v>67</v>
      </c>
      <c r="D245" s="133" t="s">
        <v>149</v>
      </c>
      <c r="E245" s="133" t="s">
        <v>85</v>
      </c>
      <c r="F245" s="131"/>
      <c r="G245" s="132">
        <f>G246</f>
        <v>114285.92034000001</v>
      </c>
    </row>
    <row r="246" spans="1:7" ht="31.5">
      <c r="A246" s="129"/>
      <c r="B246" s="41" t="s">
        <v>58</v>
      </c>
      <c r="C246" s="133" t="s">
        <v>67</v>
      </c>
      <c r="D246" s="133" t="s">
        <v>149</v>
      </c>
      <c r="E246" s="133" t="s">
        <v>85</v>
      </c>
      <c r="F246" s="131" t="s">
        <v>59</v>
      </c>
      <c r="G246" s="132">
        <f>'прил 4'!G232</f>
        <v>114285.92034000001</v>
      </c>
    </row>
    <row r="247" spans="1:7" ht="15.75">
      <c r="A247" s="129"/>
      <c r="B247" s="41" t="s">
        <v>93</v>
      </c>
      <c r="C247" s="133" t="s">
        <v>67</v>
      </c>
      <c r="D247" s="133" t="s">
        <v>67</v>
      </c>
      <c r="E247" s="133"/>
      <c r="F247" s="131"/>
      <c r="G247" s="132">
        <f>G248+G259+G256</f>
        <v>71794.50027999998</v>
      </c>
    </row>
    <row r="248" spans="1:7" ht="60.75" customHeight="1">
      <c r="A248" s="129"/>
      <c r="B248" s="41" t="s">
        <v>215</v>
      </c>
      <c r="C248" s="133" t="s">
        <v>67</v>
      </c>
      <c r="D248" s="133" t="s">
        <v>67</v>
      </c>
      <c r="E248" s="133" t="s">
        <v>76</v>
      </c>
      <c r="F248" s="131"/>
      <c r="G248" s="132">
        <f>G249</f>
        <v>21063.510209999997</v>
      </c>
    </row>
    <row r="249" spans="1:7" ht="36.75" customHeight="1">
      <c r="A249" s="129"/>
      <c r="B249" s="41" t="s">
        <v>211</v>
      </c>
      <c r="C249" s="133" t="s">
        <v>67</v>
      </c>
      <c r="D249" s="133" t="s">
        <v>67</v>
      </c>
      <c r="E249" s="133" t="s">
        <v>77</v>
      </c>
      <c r="F249" s="131"/>
      <c r="G249" s="132">
        <f>G250+G252+G254</f>
        <v>21063.510209999997</v>
      </c>
    </row>
    <row r="250" spans="1:7" ht="55.5" customHeight="1">
      <c r="A250" s="129"/>
      <c r="B250" s="53" t="s">
        <v>217</v>
      </c>
      <c r="C250" s="133" t="s">
        <v>67</v>
      </c>
      <c r="D250" s="133" t="s">
        <v>67</v>
      </c>
      <c r="E250" s="133" t="s">
        <v>216</v>
      </c>
      <c r="F250" s="131"/>
      <c r="G250" s="132">
        <f>G251</f>
        <v>20392.420879999998</v>
      </c>
    </row>
    <row r="251" spans="1:7" ht="15.75">
      <c r="A251" s="129"/>
      <c r="B251" s="41" t="s">
        <v>337</v>
      </c>
      <c r="C251" s="133" t="s">
        <v>67</v>
      </c>
      <c r="D251" s="133" t="s">
        <v>67</v>
      </c>
      <c r="E251" s="133" t="s">
        <v>216</v>
      </c>
      <c r="F251" s="131" t="s">
        <v>18</v>
      </c>
      <c r="G251" s="132">
        <f>'прил 4'!G238</f>
        <v>20392.420879999998</v>
      </c>
    </row>
    <row r="252" spans="1:7" ht="80.25" customHeight="1">
      <c r="A252" s="129"/>
      <c r="B252" s="53" t="s">
        <v>95</v>
      </c>
      <c r="C252" s="133" t="s">
        <v>67</v>
      </c>
      <c r="D252" s="133" t="s">
        <v>67</v>
      </c>
      <c r="E252" s="133" t="s">
        <v>276</v>
      </c>
      <c r="F252" s="131"/>
      <c r="G252" s="132">
        <f>G253</f>
        <v>626.60673</v>
      </c>
    </row>
    <row r="253" spans="1:7" ht="15.75">
      <c r="A253" s="129"/>
      <c r="B253" s="41" t="s">
        <v>337</v>
      </c>
      <c r="C253" s="133" t="s">
        <v>67</v>
      </c>
      <c r="D253" s="133" t="s">
        <v>67</v>
      </c>
      <c r="E253" s="133" t="s">
        <v>276</v>
      </c>
      <c r="F253" s="131" t="s">
        <v>18</v>
      </c>
      <c r="G253" s="132">
        <f>'прил 4'!G240</f>
        <v>626.60673</v>
      </c>
    </row>
    <row r="254" spans="1:7" ht="148.5" customHeight="1">
      <c r="A254" s="129"/>
      <c r="B254" s="53" t="s">
        <v>292</v>
      </c>
      <c r="C254" s="133" t="s">
        <v>67</v>
      </c>
      <c r="D254" s="133" t="s">
        <v>67</v>
      </c>
      <c r="E254" s="133" t="s">
        <v>218</v>
      </c>
      <c r="F254" s="139"/>
      <c r="G254" s="132">
        <f>G255</f>
        <v>44.48259999999999</v>
      </c>
    </row>
    <row r="255" spans="1:7" ht="15.75">
      <c r="A255" s="129"/>
      <c r="B255" s="41" t="s">
        <v>337</v>
      </c>
      <c r="C255" s="133" t="s">
        <v>67</v>
      </c>
      <c r="D255" s="133" t="s">
        <v>67</v>
      </c>
      <c r="E255" s="133" t="s">
        <v>218</v>
      </c>
      <c r="F255" s="139" t="s">
        <v>18</v>
      </c>
      <c r="G255" s="132">
        <f>'прил 4'!G242</f>
        <v>44.48259999999999</v>
      </c>
    </row>
    <row r="256" spans="1:7" ht="31.5">
      <c r="A256" s="129"/>
      <c r="B256" s="41" t="s">
        <v>332</v>
      </c>
      <c r="C256" s="133" t="s">
        <v>67</v>
      </c>
      <c r="D256" s="133" t="s">
        <v>67</v>
      </c>
      <c r="E256" s="155" t="s">
        <v>333</v>
      </c>
      <c r="F256" s="150"/>
      <c r="G256" s="132">
        <f>G257</f>
        <v>6.199999999999999</v>
      </c>
    </row>
    <row r="257" spans="1:7" ht="78.75">
      <c r="A257" s="129"/>
      <c r="B257" s="49" t="s">
        <v>343</v>
      </c>
      <c r="C257" s="133" t="s">
        <v>67</v>
      </c>
      <c r="D257" s="133" t="s">
        <v>67</v>
      </c>
      <c r="E257" s="155" t="s">
        <v>334</v>
      </c>
      <c r="F257" s="150"/>
      <c r="G257" s="132">
        <f>G258</f>
        <v>6.199999999999999</v>
      </c>
    </row>
    <row r="258" spans="1:7" ht="15.75">
      <c r="A258" s="129"/>
      <c r="B258" s="41" t="s">
        <v>337</v>
      </c>
      <c r="C258" s="133" t="s">
        <v>67</v>
      </c>
      <c r="D258" s="133" t="s">
        <v>67</v>
      </c>
      <c r="E258" s="155" t="s">
        <v>334</v>
      </c>
      <c r="F258" s="150" t="s">
        <v>18</v>
      </c>
      <c r="G258" s="132">
        <f>'прил 4'!G245</f>
        <v>6.199999999999999</v>
      </c>
    </row>
    <row r="259" spans="1:7" ht="15.75">
      <c r="A259" s="129"/>
      <c r="B259" s="53" t="s">
        <v>9</v>
      </c>
      <c r="C259" s="133" t="s">
        <v>67</v>
      </c>
      <c r="D259" s="133" t="s">
        <v>67</v>
      </c>
      <c r="E259" s="133" t="s">
        <v>10</v>
      </c>
      <c r="F259" s="131"/>
      <c r="G259" s="132">
        <f>G260+G267+G264+G270</f>
        <v>50724.79006999999</v>
      </c>
    </row>
    <row r="260" spans="1:7" ht="47.25">
      <c r="A260" s="129"/>
      <c r="B260" s="53" t="s">
        <v>16</v>
      </c>
      <c r="C260" s="133" t="s">
        <v>67</v>
      </c>
      <c r="D260" s="133" t="s">
        <v>67</v>
      </c>
      <c r="E260" s="133" t="s">
        <v>17</v>
      </c>
      <c r="F260" s="131"/>
      <c r="G260" s="132">
        <f>G261+G262+G263</f>
        <v>30402.378139999997</v>
      </c>
    </row>
    <row r="261" spans="1:7" ht="47.25">
      <c r="A261" s="129"/>
      <c r="B261" s="41" t="s">
        <v>11</v>
      </c>
      <c r="C261" s="133" t="s">
        <v>67</v>
      </c>
      <c r="D261" s="133" t="s">
        <v>67</v>
      </c>
      <c r="E261" s="133" t="s">
        <v>17</v>
      </c>
      <c r="F261" s="131" t="s">
        <v>12</v>
      </c>
      <c r="G261" s="132">
        <f>'прил 4'!G248</f>
        <v>28591.429219999998</v>
      </c>
    </row>
    <row r="262" spans="1:7" ht="15.75">
      <c r="A262" s="129"/>
      <c r="B262" s="41" t="s">
        <v>337</v>
      </c>
      <c r="C262" s="133" t="s">
        <v>67</v>
      </c>
      <c r="D262" s="133" t="s">
        <v>67</v>
      </c>
      <c r="E262" s="133" t="s">
        <v>17</v>
      </c>
      <c r="F262" s="131" t="s">
        <v>18</v>
      </c>
      <c r="G262" s="132">
        <f>'прил 4'!G250</f>
        <v>794.00127</v>
      </c>
    </row>
    <row r="263" spans="1:7" ht="15.75">
      <c r="A263" s="129"/>
      <c r="B263" s="41" t="s">
        <v>19</v>
      </c>
      <c r="C263" s="133" t="s">
        <v>67</v>
      </c>
      <c r="D263" s="133" t="s">
        <v>67</v>
      </c>
      <c r="E263" s="133" t="s">
        <v>17</v>
      </c>
      <c r="F263" s="131" t="s">
        <v>20</v>
      </c>
      <c r="G263" s="132">
        <f>'прил 4'!G251</f>
        <v>1016.94765</v>
      </c>
    </row>
    <row r="264" spans="1:7" ht="15.75">
      <c r="A264" s="129"/>
      <c r="B264" s="41" t="s">
        <v>298</v>
      </c>
      <c r="C264" s="133" t="s">
        <v>67</v>
      </c>
      <c r="D264" s="133" t="s">
        <v>67</v>
      </c>
      <c r="E264" s="133" t="s">
        <v>299</v>
      </c>
      <c r="F264" s="139"/>
      <c r="G264" s="132">
        <f>G265+G266</f>
        <v>7204.55495</v>
      </c>
    </row>
    <row r="265" spans="1:7" ht="15.75">
      <c r="A265" s="129"/>
      <c r="B265" s="41" t="s">
        <v>337</v>
      </c>
      <c r="C265" s="133" t="s">
        <v>67</v>
      </c>
      <c r="D265" s="133" t="s">
        <v>67</v>
      </c>
      <c r="E265" s="133" t="s">
        <v>299</v>
      </c>
      <c r="F265" s="139" t="s">
        <v>18</v>
      </c>
      <c r="G265" s="132">
        <f>'прил 4'!G356+'прил 4'!G85</f>
        <v>6215.72537</v>
      </c>
    </row>
    <row r="266" spans="1:7" ht="15.75">
      <c r="A266" s="129"/>
      <c r="B266" s="41" t="s">
        <v>19</v>
      </c>
      <c r="C266" s="133" t="s">
        <v>67</v>
      </c>
      <c r="D266" s="133" t="s">
        <v>67</v>
      </c>
      <c r="E266" s="133" t="s">
        <v>299</v>
      </c>
      <c r="F266" s="139" t="s">
        <v>20</v>
      </c>
      <c r="G266" s="132">
        <f>'прил 4'!G86+'прил 4'!G357</f>
        <v>988.8295800000001</v>
      </c>
    </row>
    <row r="267" spans="1:7" ht="47.25">
      <c r="A267" s="129"/>
      <c r="B267" s="56" t="s">
        <v>97</v>
      </c>
      <c r="C267" s="133" t="s">
        <v>67</v>
      </c>
      <c r="D267" s="133" t="s">
        <v>67</v>
      </c>
      <c r="E267" s="133" t="s">
        <v>98</v>
      </c>
      <c r="F267" s="139"/>
      <c r="G267" s="132">
        <f>SUM(G268:G269)</f>
        <v>4301.413859999998</v>
      </c>
    </row>
    <row r="268" spans="1:7" ht="47.25">
      <c r="A268" s="129"/>
      <c r="B268" s="41" t="s">
        <v>11</v>
      </c>
      <c r="C268" s="133" t="s">
        <v>67</v>
      </c>
      <c r="D268" s="133" t="s">
        <v>67</v>
      </c>
      <c r="E268" s="133" t="s">
        <v>98</v>
      </c>
      <c r="F268" s="139" t="s">
        <v>12</v>
      </c>
      <c r="G268" s="132">
        <f>'прил 4'!G253</f>
        <v>4060.900859999998</v>
      </c>
    </row>
    <row r="269" spans="1:7" ht="15.75">
      <c r="A269" s="129"/>
      <c r="B269" s="41" t="s">
        <v>337</v>
      </c>
      <c r="C269" s="133" t="s">
        <v>67</v>
      </c>
      <c r="D269" s="133" t="s">
        <v>67</v>
      </c>
      <c r="E269" s="133" t="s">
        <v>98</v>
      </c>
      <c r="F269" s="139" t="s">
        <v>18</v>
      </c>
      <c r="G269" s="132">
        <f>'прил 4'!G254</f>
        <v>240.51299999999998</v>
      </c>
    </row>
    <row r="270" spans="1:7" ht="47.25">
      <c r="A270" s="129"/>
      <c r="B270" s="56" t="s">
        <v>382</v>
      </c>
      <c r="C270" s="133" t="s">
        <v>67</v>
      </c>
      <c r="D270" s="133" t="s">
        <v>67</v>
      </c>
      <c r="E270" s="133" t="s">
        <v>381</v>
      </c>
      <c r="F270" s="139"/>
      <c r="G270" s="132">
        <f>G271</f>
        <v>8816.44312</v>
      </c>
    </row>
    <row r="271" spans="1:7" ht="31.5">
      <c r="A271" s="129"/>
      <c r="B271" s="41" t="s">
        <v>58</v>
      </c>
      <c r="C271" s="133" t="s">
        <v>67</v>
      </c>
      <c r="D271" s="133" t="s">
        <v>67</v>
      </c>
      <c r="E271" s="133" t="s">
        <v>381</v>
      </c>
      <c r="F271" s="139" t="s">
        <v>59</v>
      </c>
      <c r="G271" s="132">
        <f>'прил 4'!G256</f>
        <v>8816.44312</v>
      </c>
    </row>
    <row r="272" spans="1:7" ht="15.75">
      <c r="A272" s="125">
        <v>6</v>
      </c>
      <c r="B272" s="144" t="s">
        <v>258</v>
      </c>
      <c r="C272" s="127" t="s">
        <v>173</v>
      </c>
      <c r="D272" s="127"/>
      <c r="E272" s="127"/>
      <c r="F272" s="127"/>
      <c r="G272" s="128">
        <f>G273</f>
        <v>6325.1892</v>
      </c>
    </row>
    <row r="273" spans="1:7" ht="15.75">
      <c r="A273" s="129"/>
      <c r="B273" s="67" t="s">
        <v>253</v>
      </c>
      <c r="C273" s="133" t="s">
        <v>173</v>
      </c>
      <c r="D273" s="133" t="s">
        <v>67</v>
      </c>
      <c r="E273" s="133"/>
      <c r="F273" s="139"/>
      <c r="G273" s="132">
        <f>G274</f>
        <v>6325.1892</v>
      </c>
    </row>
    <row r="274" spans="1:7" ht="31.5">
      <c r="A274" s="129"/>
      <c r="B274" s="67" t="s">
        <v>254</v>
      </c>
      <c r="C274" s="133" t="s">
        <v>173</v>
      </c>
      <c r="D274" s="133" t="s">
        <v>67</v>
      </c>
      <c r="E274" s="133" t="s">
        <v>251</v>
      </c>
      <c r="F274" s="139"/>
      <c r="G274" s="132">
        <f>G275+G286</f>
        <v>6325.1892</v>
      </c>
    </row>
    <row r="275" spans="1:7" ht="31.5">
      <c r="A275" s="129"/>
      <c r="B275" s="41" t="s">
        <v>282</v>
      </c>
      <c r="C275" s="133" t="s">
        <v>173</v>
      </c>
      <c r="D275" s="133" t="s">
        <v>67</v>
      </c>
      <c r="E275" s="133" t="s">
        <v>283</v>
      </c>
      <c r="F275" s="139"/>
      <c r="G275" s="132">
        <f>G276+G278+G280+G282+G284</f>
        <v>3458.1402</v>
      </c>
    </row>
    <row r="276" spans="1:7" ht="110.25">
      <c r="A276" s="129"/>
      <c r="B276" s="49" t="s">
        <v>284</v>
      </c>
      <c r="C276" s="133" t="s">
        <v>173</v>
      </c>
      <c r="D276" s="133" t="s">
        <v>67</v>
      </c>
      <c r="E276" s="133" t="s">
        <v>285</v>
      </c>
      <c r="F276" s="139"/>
      <c r="G276" s="132">
        <f>G277</f>
        <v>499.9842</v>
      </c>
    </row>
    <row r="277" spans="1:7" ht="31.5">
      <c r="A277" s="129"/>
      <c r="B277" s="41" t="s">
        <v>58</v>
      </c>
      <c r="C277" s="133" t="s">
        <v>173</v>
      </c>
      <c r="D277" s="133" t="s">
        <v>67</v>
      </c>
      <c r="E277" s="133" t="s">
        <v>285</v>
      </c>
      <c r="F277" s="139" t="s">
        <v>59</v>
      </c>
      <c r="G277" s="132">
        <f>'прил 4'!G262</f>
        <v>499.9842</v>
      </c>
    </row>
    <row r="278" spans="1:7" ht="63">
      <c r="A278" s="129"/>
      <c r="B278" s="49" t="s">
        <v>300</v>
      </c>
      <c r="C278" s="133" t="s">
        <v>173</v>
      </c>
      <c r="D278" s="133" t="s">
        <v>67</v>
      </c>
      <c r="E278" s="133" t="s">
        <v>301</v>
      </c>
      <c r="F278" s="139"/>
      <c r="G278" s="132">
        <f>G279</f>
        <v>333.332</v>
      </c>
    </row>
    <row r="279" spans="1:7" ht="31.5">
      <c r="A279" s="129"/>
      <c r="B279" s="41" t="s">
        <v>58</v>
      </c>
      <c r="C279" s="133" t="s">
        <v>173</v>
      </c>
      <c r="D279" s="133" t="s">
        <v>67</v>
      </c>
      <c r="E279" s="133" t="s">
        <v>301</v>
      </c>
      <c r="F279" s="139" t="s">
        <v>59</v>
      </c>
      <c r="G279" s="132">
        <f>'прил 4'!G264</f>
        <v>333.332</v>
      </c>
    </row>
    <row r="280" spans="1:7" ht="86.25" customHeight="1">
      <c r="A280" s="129"/>
      <c r="B280" s="49" t="s">
        <v>303</v>
      </c>
      <c r="C280" s="133" t="s">
        <v>173</v>
      </c>
      <c r="D280" s="133" t="s">
        <v>67</v>
      </c>
      <c r="E280" s="133" t="s">
        <v>302</v>
      </c>
      <c r="F280" s="139"/>
      <c r="G280" s="132">
        <f>G281</f>
        <v>600</v>
      </c>
    </row>
    <row r="281" spans="1:7" ht="31.5">
      <c r="A281" s="129"/>
      <c r="B281" s="41" t="s">
        <v>58</v>
      </c>
      <c r="C281" s="133" t="s">
        <v>173</v>
      </c>
      <c r="D281" s="133" t="s">
        <v>67</v>
      </c>
      <c r="E281" s="133" t="s">
        <v>302</v>
      </c>
      <c r="F281" s="139" t="s">
        <v>59</v>
      </c>
      <c r="G281" s="132">
        <f>'прил 4'!G266</f>
        <v>600</v>
      </c>
    </row>
    <row r="282" spans="1:7" ht="63">
      <c r="A282" s="129"/>
      <c r="B282" s="49" t="s">
        <v>305</v>
      </c>
      <c r="C282" s="133" t="s">
        <v>173</v>
      </c>
      <c r="D282" s="133" t="s">
        <v>67</v>
      </c>
      <c r="E282" s="133" t="s">
        <v>307</v>
      </c>
      <c r="F282" s="139"/>
      <c r="G282" s="132">
        <f>G283</f>
        <v>434.824</v>
      </c>
    </row>
    <row r="283" spans="1:7" ht="31.5">
      <c r="A283" s="129"/>
      <c r="B283" s="41" t="s">
        <v>58</v>
      </c>
      <c r="C283" s="133" t="s">
        <v>173</v>
      </c>
      <c r="D283" s="133" t="s">
        <v>67</v>
      </c>
      <c r="E283" s="133" t="s">
        <v>307</v>
      </c>
      <c r="F283" s="139" t="s">
        <v>59</v>
      </c>
      <c r="G283" s="132">
        <f>'прил 4'!G268</f>
        <v>434.824</v>
      </c>
    </row>
    <row r="284" spans="1:7" ht="63">
      <c r="A284" s="129"/>
      <c r="B284" s="49" t="s">
        <v>304</v>
      </c>
      <c r="C284" s="133" t="s">
        <v>173</v>
      </c>
      <c r="D284" s="133" t="s">
        <v>67</v>
      </c>
      <c r="E284" s="133" t="s">
        <v>306</v>
      </c>
      <c r="F284" s="139"/>
      <c r="G284" s="132">
        <f>G285</f>
        <v>1590</v>
      </c>
    </row>
    <row r="285" spans="1:7" ht="31.5">
      <c r="A285" s="129"/>
      <c r="B285" s="41" t="s">
        <v>58</v>
      </c>
      <c r="C285" s="133" t="s">
        <v>173</v>
      </c>
      <c r="D285" s="133" t="s">
        <v>67</v>
      </c>
      <c r="E285" s="133" t="s">
        <v>306</v>
      </c>
      <c r="F285" s="139" t="s">
        <v>59</v>
      </c>
      <c r="G285" s="132">
        <f>'прил 4'!G269</f>
        <v>1590</v>
      </c>
    </row>
    <row r="286" spans="1:7" ht="31.5">
      <c r="A286" s="129"/>
      <c r="B286" s="41" t="s">
        <v>255</v>
      </c>
      <c r="C286" s="133" t="s">
        <v>173</v>
      </c>
      <c r="D286" s="133" t="s">
        <v>67</v>
      </c>
      <c r="E286" s="133" t="s">
        <v>252</v>
      </c>
      <c r="F286" s="139"/>
      <c r="G286" s="132">
        <f>G287+G289</f>
        <v>2867.049</v>
      </c>
    </row>
    <row r="287" spans="1:7" ht="69" customHeight="1">
      <c r="A287" s="129"/>
      <c r="B287" s="49" t="s">
        <v>308</v>
      </c>
      <c r="C287" s="133" t="s">
        <v>173</v>
      </c>
      <c r="D287" s="133" t="s">
        <v>67</v>
      </c>
      <c r="E287" s="133" t="s">
        <v>310</v>
      </c>
      <c r="F287" s="139"/>
      <c r="G287" s="132">
        <f>G288</f>
        <v>1367.049</v>
      </c>
    </row>
    <row r="288" spans="1:7" ht="15.75">
      <c r="A288" s="129"/>
      <c r="B288" s="41" t="s">
        <v>337</v>
      </c>
      <c r="C288" s="133" t="s">
        <v>173</v>
      </c>
      <c r="D288" s="133" t="s">
        <v>67</v>
      </c>
      <c r="E288" s="133" t="s">
        <v>310</v>
      </c>
      <c r="F288" s="139" t="s">
        <v>18</v>
      </c>
      <c r="G288" s="132">
        <f>'прил 4'!G272</f>
        <v>1367.049</v>
      </c>
    </row>
    <row r="289" spans="1:7" ht="63">
      <c r="A289" s="129"/>
      <c r="B289" s="49" t="s">
        <v>309</v>
      </c>
      <c r="C289" s="133" t="s">
        <v>173</v>
      </c>
      <c r="D289" s="133" t="s">
        <v>67</v>
      </c>
      <c r="E289" s="133" t="s">
        <v>311</v>
      </c>
      <c r="F289" s="139"/>
      <c r="G289" s="132">
        <f>G290</f>
        <v>1500</v>
      </c>
    </row>
    <row r="290" spans="1:7" ht="15.75">
      <c r="A290" s="129"/>
      <c r="B290" s="41" t="s">
        <v>337</v>
      </c>
      <c r="C290" s="133" t="s">
        <v>173</v>
      </c>
      <c r="D290" s="133" t="s">
        <v>67</v>
      </c>
      <c r="E290" s="133" t="s">
        <v>311</v>
      </c>
      <c r="F290" s="139" t="s">
        <v>18</v>
      </c>
      <c r="G290" s="132">
        <f>'прил 4'!G274</f>
        <v>1500</v>
      </c>
    </row>
    <row r="291" spans="1:7" s="4" customFormat="1" ht="15.75">
      <c r="A291" s="125">
        <v>7</v>
      </c>
      <c r="B291" s="144" t="s">
        <v>125</v>
      </c>
      <c r="C291" s="127" t="s">
        <v>126</v>
      </c>
      <c r="D291" s="127"/>
      <c r="E291" s="127"/>
      <c r="F291" s="127"/>
      <c r="G291" s="128">
        <f>G292</f>
        <v>230</v>
      </c>
    </row>
    <row r="292" spans="1:7" ht="15.75">
      <c r="A292" s="129"/>
      <c r="B292" s="41" t="s">
        <v>234</v>
      </c>
      <c r="C292" s="133" t="s">
        <v>126</v>
      </c>
      <c r="D292" s="133" t="s">
        <v>126</v>
      </c>
      <c r="E292" s="133"/>
      <c r="F292" s="131"/>
      <c r="G292" s="132">
        <f>G293</f>
        <v>230</v>
      </c>
    </row>
    <row r="293" spans="1:7" ht="31.5">
      <c r="A293" s="129"/>
      <c r="B293" s="62" t="s">
        <v>184</v>
      </c>
      <c r="C293" s="133" t="s">
        <v>126</v>
      </c>
      <c r="D293" s="133" t="s">
        <v>126</v>
      </c>
      <c r="E293" s="133" t="s">
        <v>128</v>
      </c>
      <c r="F293" s="139"/>
      <c r="G293" s="132">
        <f>G294+G297</f>
        <v>230</v>
      </c>
    </row>
    <row r="294" spans="1:7" ht="15.75">
      <c r="A294" s="129"/>
      <c r="B294" s="62" t="s">
        <v>188</v>
      </c>
      <c r="C294" s="133" t="s">
        <v>126</v>
      </c>
      <c r="D294" s="133" t="s">
        <v>126</v>
      </c>
      <c r="E294" s="133" t="s">
        <v>187</v>
      </c>
      <c r="F294" s="139"/>
      <c r="G294" s="132">
        <f>G295</f>
        <v>170</v>
      </c>
    </row>
    <row r="295" spans="1:7" ht="78.75">
      <c r="A295" s="129"/>
      <c r="B295" s="67" t="s">
        <v>129</v>
      </c>
      <c r="C295" s="133" t="s">
        <v>126</v>
      </c>
      <c r="D295" s="133" t="s">
        <v>126</v>
      </c>
      <c r="E295" s="133" t="s">
        <v>189</v>
      </c>
      <c r="F295" s="139"/>
      <c r="G295" s="132">
        <f>G296</f>
        <v>170</v>
      </c>
    </row>
    <row r="296" spans="1:7" ht="15.75">
      <c r="A296" s="129"/>
      <c r="B296" s="41" t="s">
        <v>337</v>
      </c>
      <c r="C296" s="133" t="s">
        <v>126</v>
      </c>
      <c r="D296" s="133" t="s">
        <v>126</v>
      </c>
      <c r="E296" s="133" t="s">
        <v>189</v>
      </c>
      <c r="F296" s="139" t="s">
        <v>18</v>
      </c>
      <c r="G296" s="132">
        <f>'прил 4'!G430</f>
        <v>170</v>
      </c>
    </row>
    <row r="297" spans="1:7" ht="63">
      <c r="A297" s="129"/>
      <c r="B297" s="67" t="s">
        <v>130</v>
      </c>
      <c r="C297" s="133" t="s">
        <v>126</v>
      </c>
      <c r="D297" s="133" t="s">
        <v>126</v>
      </c>
      <c r="E297" s="133" t="s">
        <v>190</v>
      </c>
      <c r="F297" s="139"/>
      <c r="G297" s="132">
        <f>G298</f>
        <v>60</v>
      </c>
    </row>
    <row r="298" spans="1:7" ht="15.75">
      <c r="A298" s="129"/>
      <c r="B298" s="41" t="s">
        <v>337</v>
      </c>
      <c r="C298" s="133" t="s">
        <v>126</v>
      </c>
      <c r="D298" s="133" t="s">
        <v>126</v>
      </c>
      <c r="E298" s="133" t="s">
        <v>190</v>
      </c>
      <c r="F298" s="139" t="s">
        <v>18</v>
      </c>
      <c r="G298" s="132">
        <f>'прил 4'!G432</f>
        <v>60</v>
      </c>
    </row>
    <row r="299" spans="1:7" s="4" customFormat="1" ht="15.75">
      <c r="A299" s="125">
        <v>7</v>
      </c>
      <c r="B299" s="126" t="s">
        <v>132</v>
      </c>
      <c r="C299" s="127" t="s">
        <v>133</v>
      </c>
      <c r="D299" s="127"/>
      <c r="E299" s="127"/>
      <c r="F299" s="127"/>
      <c r="G299" s="128">
        <f>G300</f>
        <v>38205.67357</v>
      </c>
    </row>
    <row r="300" spans="1:7" ht="15.75">
      <c r="A300" s="129"/>
      <c r="B300" s="41" t="s">
        <v>134</v>
      </c>
      <c r="C300" s="133" t="s">
        <v>133</v>
      </c>
      <c r="D300" s="133" t="s">
        <v>8</v>
      </c>
      <c r="E300" s="133"/>
      <c r="F300" s="133"/>
      <c r="G300" s="132">
        <f>G308+G301</f>
        <v>38205.67357</v>
      </c>
    </row>
    <row r="301" spans="1:7" ht="15.75">
      <c r="A301" s="129"/>
      <c r="B301" s="62" t="s">
        <v>193</v>
      </c>
      <c r="C301" s="133" t="s">
        <v>133</v>
      </c>
      <c r="D301" s="133" t="s">
        <v>8</v>
      </c>
      <c r="E301" s="133" t="s">
        <v>136</v>
      </c>
      <c r="F301" s="133"/>
      <c r="G301" s="132">
        <f>G302+G305</f>
        <v>768.78</v>
      </c>
    </row>
    <row r="302" spans="1:7" ht="31.5">
      <c r="A302" s="129"/>
      <c r="B302" s="62" t="s">
        <v>194</v>
      </c>
      <c r="C302" s="133" t="s">
        <v>133</v>
      </c>
      <c r="D302" s="133" t="s">
        <v>8</v>
      </c>
      <c r="E302" s="133" t="s">
        <v>195</v>
      </c>
      <c r="F302" s="133"/>
      <c r="G302" s="132">
        <f>G303</f>
        <v>400</v>
      </c>
    </row>
    <row r="303" spans="1:7" ht="110.25">
      <c r="A303" s="129"/>
      <c r="B303" s="66" t="s">
        <v>266</v>
      </c>
      <c r="C303" s="133" t="s">
        <v>133</v>
      </c>
      <c r="D303" s="133" t="s">
        <v>8</v>
      </c>
      <c r="E303" s="133" t="s">
        <v>196</v>
      </c>
      <c r="F303" s="133"/>
      <c r="G303" s="132">
        <f>G304</f>
        <v>400</v>
      </c>
    </row>
    <row r="304" spans="1:7" ht="33" customHeight="1">
      <c r="A304" s="129"/>
      <c r="B304" s="41" t="s">
        <v>337</v>
      </c>
      <c r="C304" s="133" t="s">
        <v>133</v>
      </c>
      <c r="D304" s="133" t="s">
        <v>8</v>
      </c>
      <c r="E304" s="133" t="s">
        <v>196</v>
      </c>
      <c r="F304" s="133" t="s">
        <v>18</v>
      </c>
      <c r="G304" s="132">
        <f>'прил 4'!G438</f>
        <v>400</v>
      </c>
    </row>
    <row r="305" spans="1:7" ht="15.75">
      <c r="A305" s="129"/>
      <c r="B305" s="62" t="s">
        <v>259</v>
      </c>
      <c r="C305" s="133" t="s">
        <v>133</v>
      </c>
      <c r="D305" s="133" t="s">
        <v>8</v>
      </c>
      <c r="E305" s="133" t="s">
        <v>260</v>
      </c>
      <c r="F305" s="139"/>
      <c r="G305" s="132">
        <f>G306</f>
        <v>368.78</v>
      </c>
    </row>
    <row r="306" spans="1:7" ht="63">
      <c r="A306" s="129"/>
      <c r="B306" s="67" t="s">
        <v>389</v>
      </c>
      <c r="C306" s="133" t="s">
        <v>133</v>
      </c>
      <c r="D306" s="133" t="s">
        <v>8</v>
      </c>
      <c r="E306" s="133" t="s">
        <v>388</v>
      </c>
      <c r="F306" s="139"/>
      <c r="G306" s="132">
        <f>G307</f>
        <v>368.78</v>
      </c>
    </row>
    <row r="307" spans="1:7" ht="31.5">
      <c r="A307" s="129"/>
      <c r="B307" s="62" t="s">
        <v>58</v>
      </c>
      <c r="C307" s="133" t="s">
        <v>133</v>
      </c>
      <c r="D307" s="133" t="s">
        <v>8</v>
      </c>
      <c r="E307" s="133" t="s">
        <v>388</v>
      </c>
      <c r="F307" s="139" t="s">
        <v>59</v>
      </c>
      <c r="G307" s="132">
        <f>'прил 4'!G441</f>
        <v>368.78</v>
      </c>
    </row>
    <row r="308" spans="1:7" ht="15.75">
      <c r="A308" s="129"/>
      <c r="B308" s="41" t="s">
        <v>9</v>
      </c>
      <c r="C308" s="133" t="s">
        <v>133</v>
      </c>
      <c r="D308" s="133" t="s">
        <v>8</v>
      </c>
      <c r="E308" s="133" t="s">
        <v>10</v>
      </c>
      <c r="F308" s="133"/>
      <c r="G308" s="132">
        <f>G309</f>
        <v>37436.89357</v>
      </c>
    </row>
    <row r="309" spans="1:7" ht="47.25">
      <c r="A309" s="129"/>
      <c r="B309" s="41" t="s">
        <v>191</v>
      </c>
      <c r="C309" s="133" t="s">
        <v>133</v>
      </c>
      <c r="D309" s="133" t="s">
        <v>8</v>
      </c>
      <c r="E309" s="133" t="s">
        <v>192</v>
      </c>
      <c r="F309" s="133"/>
      <c r="G309" s="132">
        <f>G310</f>
        <v>37436.89357</v>
      </c>
    </row>
    <row r="310" spans="1:7" ht="31.5">
      <c r="A310" s="129"/>
      <c r="B310" s="41" t="s">
        <v>58</v>
      </c>
      <c r="C310" s="133" t="s">
        <v>133</v>
      </c>
      <c r="D310" s="133" t="s">
        <v>8</v>
      </c>
      <c r="E310" s="133" t="s">
        <v>192</v>
      </c>
      <c r="F310" s="133" t="s">
        <v>59</v>
      </c>
      <c r="G310" s="132">
        <f>'прил 4'!G447</f>
        <v>37436.89357</v>
      </c>
    </row>
    <row r="311" spans="1:7" s="4" customFormat="1" ht="15.75">
      <c r="A311" s="125">
        <v>8</v>
      </c>
      <c r="B311" s="126" t="s">
        <v>43</v>
      </c>
      <c r="C311" s="127" t="s">
        <v>44</v>
      </c>
      <c r="D311" s="127"/>
      <c r="E311" s="127"/>
      <c r="F311" s="127"/>
      <c r="G311" s="128">
        <f>G312+G316</f>
        <v>76666.92666000001</v>
      </c>
    </row>
    <row r="312" spans="1:7" ht="15.75">
      <c r="A312" s="129"/>
      <c r="B312" s="130" t="s">
        <v>52</v>
      </c>
      <c r="C312" s="131" t="s">
        <v>44</v>
      </c>
      <c r="D312" s="131" t="s">
        <v>8</v>
      </c>
      <c r="E312" s="131"/>
      <c r="F312" s="131"/>
      <c r="G312" s="132">
        <f>G313</f>
        <v>7718.912200000001</v>
      </c>
    </row>
    <row r="313" spans="1:7" ht="15.75">
      <c r="A313" s="129"/>
      <c r="B313" s="135" t="s">
        <v>9</v>
      </c>
      <c r="C313" s="131" t="s">
        <v>44</v>
      </c>
      <c r="D313" s="131" t="s">
        <v>8</v>
      </c>
      <c r="E313" s="133" t="s">
        <v>10</v>
      </c>
      <c r="F313" s="131"/>
      <c r="G313" s="132">
        <f>G314</f>
        <v>7718.912200000001</v>
      </c>
    </row>
    <row r="314" spans="1:7" ht="15.75">
      <c r="A314" s="129"/>
      <c r="B314" s="134" t="s">
        <v>54</v>
      </c>
      <c r="C314" s="131" t="s">
        <v>44</v>
      </c>
      <c r="D314" s="131" t="s">
        <v>8</v>
      </c>
      <c r="E314" s="133" t="s">
        <v>55</v>
      </c>
      <c r="F314" s="131"/>
      <c r="G314" s="132">
        <f>G315</f>
        <v>7718.912200000001</v>
      </c>
    </row>
    <row r="315" spans="1:7" ht="15.75">
      <c r="A315" s="129"/>
      <c r="B315" s="134" t="s">
        <v>48</v>
      </c>
      <c r="C315" s="131" t="s">
        <v>44</v>
      </c>
      <c r="D315" s="131" t="s">
        <v>8</v>
      </c>
      <c r="E315" s="133" t="s">
        <v>55</v>
      </c>
      <c r="F315" s="131" t="s">
        <v>49</v>
      </c>
      <c r="G315" s="132">
        <f>'прил 4'!G108</f>
        <v>7718.912200000001</v>
      </c>
    </row>
    <row r="316" spans="1:7" ht="15.75">
      <c r="A316" s="129"/>
      <c r="B316" s="134" t="s">
        <v>45</v>
      </c>
      <c r="C316" s="145" t="s">
        <v>44</v>
      </c>
      <c r="D316" s="145" t="s">
        <v>149</v>
      </c>
      <c r="E316" s="145"/>
      <c r="F316" s="131"/>
      <c r="G316" s="132">
        <f>G317+G321</f>
        <v>68948.01446</v>
      </c>
    </row>
    <row r="317" spans="1:7" ht="31.5">
      <c r="A317" s="129"/>
      <c r="B317" s="53" t="s">
        <v>178</v>
      </c>
      <c r="C317" s="145" t="s">
        <v>44</v>
      </c>
      <c r="D317" s="145" t="s">
        <v>149</v>
      </c>
      <c r="E317" s="133" t="s">
        <v>114</v>
      </c>
      <c r="F317" s="131"/>
      <c r="G317" s="132">
        <f>G318</f>
        <v>36714.99546</v>
      </c>
    </row>
    <row r="318" spans="1:7" ht="15.75">
      <c r="A318" s="129"/>
      <c r="B318" s="53" t="s">
        <v>263</v>
      </c>
      <c r="C318" s="145" t="s">
        <v>44</v>
      </c>
      <c r="D318" s="145" t="s">
        <v>149</v>
      </c>
      <c r="E318" s="133" t="s">
        <v>197</v>
      </c>
      <c r="F318" s="131"/>
      <c r="G318" s="132">
        <f>G319</f>
        <v>36714.99546</v>
      </c>
    </row>
    <row r="319" spans="1:7" ht="63">
      <c r="A319" s="129"/>
      <c r="B319" s="49" t="s">
        <v>290</v>
      </c>
      <c r="C319" s="145" t="s">
        <v>44</v>
      </c>
      <c r="D319" s="145" t="s">
        <v>149</v>
      </c>
      <c r="E319" s="146" t="s">
        <v>271</v>
      </c>
      <c r="F319" s="131"/>
      <c r="G319" s="132">
        <f>G320</f>
        <v>36714.99546</v>
      </c>
    </row>
    <row r="320" spans="1:7" ht="15.75">
      <c r="A320" s="129"/>
      <c r="B320" s="44" t="s">
        <v>48</v>
      </c>
      <c r="C320" s="145" t="s">
        <v>44</v>
      </c>
      <c r="D320" s="145" t="s">
        <v>149</v>
      </c>
      <c r="E320" s="146" t="s">
        <v>271</v>
      </c>
      <c r="F320" s="131" t="s">
        <v>49</v>
      </c>
      <c r="G320" s="132">
        <f>'прил 4'!G455</f>
        <v>36714.99546</v>
      </c>
    </row>
    <row r="321" spans="1:7" ht="15.75">
      <c r="A321" s="129"/>
      <c r="B321" s="134" t="s">
        <v>9</v>
      </c>
      <c r="C321" s="145">
        <v>10</v>
      </c>
      <c r="D321" s="147" t="s">
        <v>149</v>
      </c>
      <c r="E321" s="145" t="s">
        <v>10</v>
      </c>
      <c r="F321" s="131"/>
      <c r="G321" s="132">
        <f>G324+G328+G332+G326+G322</f>
        <v>32233.019</v>
      </c>
    </row>
    <row r="322" spans="1:7" ht="31.5">
      <c r="A322" s="129"/>
      <c r="B322" s="41" t="s">
        <v>401</v>
      </c>
      <c r="C322" s="145">
        <v>10</v>
      </c>
      <c r="D322" s="147" t="s">
        <v>149</v>
      </c>
      <c r="E322" s="155" t="s">
        <v>400</v>
      </c>
      <c r="F322" s="131"/>
      <c r="G322" s="132">
        <f>G323</f>
        <v>120.719</v>
      </c>
    </row>
    <row r="323" spans="1:7" ht="15.75">
      <c r="A323" s="129"/>
      <c r="B323" s="44" t="s">
        <v>48</v>
      </c>
      <c r="C323" s="145">
        <v>10</v>
      </c>
      <c r="D323" s="147" t="s">
        <v>149</v>
      </c>
      <c r="E323" s="43" t="s">
        <v>400</v>
      </c>
      <c r="F323" s="131" t="s">
        <v>49</v>
      </c>
      <c r="G323" s="132">
        <f>'прил 4'!G91</f>
        <v>120.719</v>
      </c>
    </row>
    <row r="324" spans="1:7" ht="47.25">
      <c r="A324" s="129"/>
      <c r="B324" s="44" t="s">
        <v>321</v>
      </c>
      <c r="C324" s="131" t="s">
        <v>44</v>
      </c>
      <c r="D324" s="131" t="s">
        <v>149</v>
      </c>
      <c r="E324" s="133" t="s">
        <v>96</v>
      </c>
      <c r="F324" s="131"/>
      <c r="G324" s="132">
        <f>G325</f>
        <v>500</v>
      </c>
    </row>
    <row r="325" spans="1:7" ht="15.75">
      <c r="A325" s="129"/>
      <c r="B325" s="44" t="s">
        <v>48</v>
      </c>
      <c r="C325" s="131" t="s">
        <v>44</v>
      </c>
      <c r="D325" s="131" t="s">
        <v>149</v>
      </c>
      <c r="E325" s="133" t="s">
        <v>96</v>
      </c>
      <c r="F325" s="131" t="s">
        <v>49</v>
      </c>
      <c r="G325" s="132">
        <f>'прил 4'!G280</f>
        <v>500</v>
      </c>
    </row>
    <row r="326" spans="1:7" ht="47.25">
      <c r="A326" s="129"/>
      <c r="B326" s="44" t="s">
        <v>351</v>
      </c>
      <c r="C326" s="131" t="s">
        <v>44</v>
      </c>
      <c r="D326" s="131" t="s">
        <v>149</v>
      </c>
      <c r="E326" s="43" t="s">
        <v>350</v>
      </c>
      <c r="F326" s="42"/>
      <c r="G326" s="132">
        <f>G327</f>
        <v>732</v>
      </c>
    </row>
    <row r="327" spans="1:7" ht="15.75">
      <c r="A327" s="129"/>
      <c r="B327" s="44" t="s">
        <v>48</v>
      </c>
      <c r="C327" s="131" t="s">
        <v>44</v>
      </c>
      <c r="D327" s="131" t="s">
        <v>149</v>
      </c>
      <c r="E327" s="43" t="s">
        <v>350</v>
      </c>
      <c r="F327" s="42" t="s">
        <v>49</v>
      </c>
      <c r="G327" s="132">
        <f>'прил 4'!G282</f>
        <v>732</v>
      </c>
    </row>
    <row r="328" spans="1:7" ht="63">
      <c r="A328" s="129"/>
      <c r="B328" s="44" t="s">
        <v>257</v>
      </c>
      <c r="C328" s="145" t="s">
        <v>44</v>
      </c>
      <c r="D328" s="145" t="s">
        <v>149</v>
      </c>
      <c r="E328" s="133" t="s">
        <v>256</v>
      </c>
      <c r="F328" s="131"/>
      <c r="G328" s="132">
        <f>SUM(G329:G331)</f>
        <v>19437.3</v>
      </c>
    </row>
    <row r="329" spans="1:7" ht="47.25">
      <c r="A329" s="129"/>
      <c r="B329" s="41" t="s">
        <v>11</v>
      </c>
      <c r="C329" s="145">
        <v>10</v>
      </c>
      <c r="D329" s="147" t="s">
        <v>149</v>
      </c>
      <c r="E329" s="133" t="s">
        <v>256</v>
      </c>
      <c r="F329" s="131" t="s">
        <v>12</v>
      </c>
      <c r="G329" s="132">
        <f>'прил 4'!G284</f>
        <v>125.52125</v>
      </c>
    </row>
    <row r="330" spans="1:7" ht="15.75">
      <c r="A330" s="129"/>
      <c r="B330" s="41" t="s">
        <v>337</v>
      </c>
      <c r="C330" s="145">
        <v>10</v>
      </c>
      <c r="D330" s="147" t="s">
        <v>149</v>
      </c>
      <c r="E330" s="133" t="s">
        <v>256</v>
      </c>
      <c r="F330" s="131" t="s">
        <v>18</v>
      </c>
      <c r="G330" s="132">
        <f>'прил 4'!G285</f>
        <v>244.95798</v>
      </c>
    </row>
    <row r="331" spans="1:7" ht="15.75">
      <c r="A331" s="129"/>
      <c r="B331" s="44" t="s">
        <v>19</v>
      </c>
      <c r="C331" s="131" t="s">
        <v>44</v>
      </c>
      <c r="D331" s="131" t="s">
        <v>149</v>
      </c>
      <c r="E331" s="133" t="s">
        <v>256</v>
      </c>
      <c r="F331" s="131" t="s">
        <v>20</v>
      </c>
      <c r="G331" s="132">
        <f>'прил 4'!G286</f>
        <v>19066.82077</v>
      </c>
    </row>
    <row r="332" spans="1:7" ht="47.25">
      <c r="A332" s="129"/>
      <c r="B332" s="44" t="s">
        <v>246</v>
      </c>
      <c r="C332" s="131" t="s">
        <v>44</v>
      </c>
      <c r="D332" s="131" t="s">
        <v>149</v>
      </c>
      <c r="E332" s="133" t="s">
        <v>245</v>
      </c>
      <c r="F332" s="131"/>
      <c r="G332" s="132">
        <f>SUM(G333:G334)</f>
        <v>11443</v>
      </c>
    </row>
    <row r="333" spans="1:7" ht="15.75">
      <c r="A333" s="129"/>
      <c r="B333" s="41" t="s">
        <v>337</v>
      </c>
      <c r="C333" s="131" t="s">
        <v>44</v>
      </c>
      <c r="D333" s="131" t="s">
        <v>149</v>
      </c>
      <c r="E333" s="133" t="s">
        <v>245</v>
      </c>
      <c r="F333" s="131" t="s">
        <v>18</v>
      </c>
      <c r="G333" s="132">
        <f>'прил 4'!G288</f>
        <v>200</v>
      </c>
    </row>
    <row r="334" spans="1:7" ht="15.75">
      <c r="A334" s="129"/>
      <c r="B334" s="44" t="s">
        <v>48</v>
      </c>
      <c r="C334" s="131" t="s">
        <v>44</v>
      </c>
      <c r="D334" s="131" t="s">
        <v>149</v>
      </c>
      <c r="E334" s="133" t="s">
        <v>245</v>
      </c>
      <c r="F334" s="131" t="s">
        <v>49</v>
      </c>
      <c r="G334" s="132">
        <f>'прил 4'!G289</f>
        <v>11243</v>
      </c>
    </row>
    <row r="335" spans="1:7" s="4" customFormat="1" ht="15.75">
      <c r="A335" s="125">
        <v>9</v>
      </c>
      <c r="B335" s="126" t="s">
        <v>137</v>
      </c>
      <c r="C335" s="127" t="s">
        <v>138</v>
      </c>
      <c r="D335" s="127"/>
      <c r="E335" s="127"/>
      <c r="F335" s="127"/>
      <c r="G335" s="128">
        <f>G336</f>
        <v>32531.16443</v>
      </c>
    </row>
    <row r="336" spans="1:7" ht="15.75">
      <c r="A336" s="129"/>
      <c r="B336" s="130" t="s">
        <v>139</v>
      </c>
      <c r="C336" s="131" t="s">
        <v>138</v>
      </c>
      <c r="D336" s="131" t="s">
        <v>8</v>
      </c>
      <c r="E336" s="131"/>
      <c r="F336" s="131"/>
      <c r="G336" s="132">
        <f>G337+G343</f>
        <v>32531.16443</v>
      </c>
    </row>
    <row r="337" spans="1:7" ht="31.5">
      <c r="A337" s="129"/>
      <c r="B337" s="62" t="s">
        <v>200</v>
      </c>
      <c r="C337" s="131" t="s">
        <v>138</v>
      </c>
      <c r="D337" s="131" t="s">
        <v>8</v>
      </c>
      <c r="E337" s="133" t="s">
        <v>128</v>
      </c>
      <c r="F337" s="139"/>
      <c r="G337" s="132">
        <f>G338</f>
        <v>4777.98547</v>
      </c>
    </row>
    <row r="338" spans="1:7" ht="31.5">
      <c r="A338" s="129"/>
      <c r="B338" s="66" t="s">
        <v>185</v>
      </c>
      <c r="C338" s="131" t="s">
        <v>138</v>
      </c>
      <c r="D338" s="131" t="s">
        <v>8</v>
      </c>
      <c r="E338" s="133" t="s">
        <v>143</v>
      </c>
      <c r="F338" s="139"/>
      <c r="G338" s="132">
        <f>G340+G342</f>
        <v>4777.98547</v>
      </c>
    </row>
    <row r="339" spans="1:7" ht="78.75">
      <c r="A339" s="129"/>
      <c r="B339" s="66" t="s">
        <v>267</v>
      </c>
      <c r="C339" s="131" t="s">
        <v>138</v>
      </c>
      <c r="D339" s="131" t="s">
        <v>8</v>
      </c>
      <c r="E339" s="133" t="s">
        <v>144</v>
      </c>
      <c r="F339" s="139"/>
      <c r="G339" s="132">
        <f>G340</f>
        <v>200</v>
      </c>
    </row>
    <row r="340" spans="1:7" ht="15.75">
      <c r="A340" s="129"/>
      <c r="B340" s="41" t="s">
        <v>337</v>
      </c>
      <c r="C340" s="131" t="s">
        <v>138</v>
      </c>
      <c r="D340" s="131" t="s">
        <v>8</v>
      </c>
      <c r="E340" s="133" t="s">
        <v>144</v>
      </c>
      <c r="F340" s="139" t="s">
        <v>18</v>
      </c>
      <c r="G340" s="132">
        <f>'прил 4'!G464</f>
        <v>200</v>
      </c>
    </row>
    <row r="341" spans="1:7" ht="78.75">
      <c r="A341" s="129"/>
      <c r="B341" s="66" t="s">
        <v>201</v>
      </c>
      <c r="C341" s="131" t="s">
        <v>138</v>
      </c>
      <c r="D341" s="131" t="s">
        <v>8</v>
      </c>
      <c r="E341" s="133" t="s">
        <v>186</v>
      </c>
      <c r="F341" s="139"/>
      <c r="G341" s="132">
        <f>G342</f>
        <v>4577.98547</v>
      </c>
    </row>
    <row r="342" spans="1:7" ht="31.5">
      <c r="A342" s="129"/>
      <c r="B342" s="41" t="s">
        <v>58</v>
      </c>
      <c r="C342" s="131" t="s">
        <v>138</v>
      </c>
      <c r="D342" s="131" t="s">
        <v>8</v>
      </c>
      <c r="E342" s="133" t="s">
        <v>186</v>
      </c>
      <c r="F342" s="139" t="s">
        <v>59</v>
      </c>
      <c r="G342" s="132">
        <f>'прил 4'!G466</f>
        <v>4577.98547</v>
      </c>
    </row>
    <row r="343" spans="1:7" ht="15.75">
      <c r="A343" s="129"/>
      <c r="B343" s="41" t="s">
        <v>9</v>
      </c>
      <c r="C343" s="131" t="s">
        <v>138</v>
      </c>
      <c r="D343" s="131" t="s">
        <v>8</v>
      </c>
      <c r="E343" s="133" t="s">
        <v>10</v>
      </c>
      <c r="F343" s="131"/>
      <c r="G343" s="132">
        <f>G344</f>
        <v>27753.17896</v>
      </c>
    </row>
    <row r="344" spans="1:7" ht="47.25">
      <c r="A344" s="129"/>
      <c r="B344" s="41" t="s">
        <v>141</v>
      </c>
      <c r="C344" s="131" t="s">
        <v>138</v>
      </c>
      <c r="D344" s="131" t="s">
        <v>8</v>
      </c>
      <c r="E344" s="133" t="s">
        <v>142</v>
      </c>
      <c r="F344" s="131"/>
      <c r="G344" s="132">
        <f>G345</f>
        <v>27753.17896</v>
      </c>
    </row>
    <row r="345" spans="1:7" ht="31.5">
      <c r="A345" s="129"/>
      <c r="B345" s="41" t="s">
        <v>58</v>
      </c>
      <c r="C345" s="131" t="s">
        <v>138</v>
      </c>
      <c r="D345" s="131" t="s">
        <v>8</v>
      </c>
      <c r="E345" s="133" t="s">
        <v>142</v>
      </c>
      <c r="F345" s="131" t="s">
        <v>59</v>
      </c>
      <c r="G345" s="132">
        <f>'прил 4'!G469</f>
        <v>27753.17896</v>
      </c>
    </row>
    <row r="346" spans="1:7" ht="31.5">
      <c r="A346" s="125">
        <v>10</v>
      </c>
      <c r="B346" s="158" t="s">
        <v>353</v>
      </c>
      <c r="C346" s="127" t="s">
        <v>314</v>
      </c>
      <c r="D346" s="127"/>
      <c r="E346" s="127"/>
      <c r="F346" s="127"/>
      <c r="G346" s="128">
        <f>G347</f>
        <v>500</v>
      </c>
    </row>
    <row r="347" spans="1:7" ht="15.75">
      <c r="A347" s="129"/>
      <c r="B347" s="46" t="s">
        <v>315</v>
      </c>
      <c r="C347" s="148" t="s">
        <v>314</v>
      </c>
      <c r="D347" s="148" t="s">
        <v>149</v>
      </c>
      <c r="E347" s="148"/>
      <c r="F347" s="148"/>
      <c r="G347" s="149">
        <f>G348</f>
        <v>500</v>
      </c>
    </row>
    <row r="348" spans="1:7" ht="47.25">
      <c r="A348" s="129"/>
      <c r="B348" s="68" t="s">
        <v>205</v>
      </c>
      <c r="C348" s="148" t="s">
        <v>314</v>
      </c>
      <c r="D348" s="148" t="s">
        <v>149</v>
      </c>
      <c r="E348" s="133" t="s">
        <v>150</v>
      </c>
      <c r="F348" s="150"/>
      <c r="G348" s="149">
        <f>G349</f>
        <v>500</v>
      </c>
    </row>
    <row r="349" spans="1:7" ht="63">
      <c r="A349" s="129"/>
      <c r="B349" s="44" t="s">
        <v>317</v>
      </c>
      <c r="C349" s="148" t="s">
        <v>314</v>
      </c>
      <c r="D349" s="148" t="s">
        <v>149</v>
      </c>
      <c r="E349" s="133" t="s">
        <v>318</v>
      </c>
      <c r="F349" s="150"/>
      <c r="G349" s="149">
        <f>G350</f>
        <v>500</v>
      </c>
    </row>
    <row r="350" spans="1:7" ht="15.75">
      <c r="A350" s="129"/>
      <c r="B350" s="44" t="s">
        <v>320</v>
      </c>
      <c r="C350" s="148" t="s">
        <v>314</v>
      </c>
      <c r="D350" s="148" t="s">
        <v>149</v>
      </c>
      <c r="E350" s="133" t="s">
        <v>318</v>
      </c>
      <c r="F350" s="150" t="s">
        <v>319</v>
      </c>
      <c r="G350" s="149">
        <f>'прил 4'!G114</f>
        <v>500</v>
      </c>
    </row>
    <row r="351" spans="1:8" s="6" customFormat="1" ht="15.75">
      <c r="A351" s="151"/>
      <c r="B351" s="152" t="s">
        <v>176</v>
      </c>
      <c r="C351" s="151"/>
      <c r="D351" s="151"/>
      <c r="E351" s="153"/>
      <c r="F351" s="151"/>
      <c r="G351" s="154">
        <f>G17+G118+G130+G166+G272+G291+G299+G311+G335+G346+G113</f>
        <v>2040511.03144</v>
      </c>
      <c r="H351" s="90" t="s">
        <v>370</v>
      </c>
    </row>
  </sheetData>
  <sheetProtection/>
  <autoFilter ref="A15:G351"/>
  <mergeCells count="3">
    <mergeCell ref="A13:G13"/>
    <mergeCell ref="B2:G4"/>
    <mergeCell ref="B7:G11"/>
  </mergeCells>
  <printOptions/>
  <pageMargins left="0.7086614173228347" right="0.7086614173228347" top="0.31496062992125984" bottom="0.31496062992125984" header="0.31496062992125984" footer="0.31496062992125984"/>
  <pageSetup fitToHeight="4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user</cp:lastModifiedBy>
  <cp:lastPrinted>2023-09-14T02:18:07Z</cp:lastPrinted>
  <dcterms:created xsi:type="dcterms:W3CDTF">2005-10-03T04:50:38Z</dcterms:created>
  <dcterms:modified xsi:type="dcterms:W3CDTF">2023-09-14T02:18:10Z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