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8925" tabRatio="535" activeTab="1"/>
  </bookViews>
  <sheets>
    <sheet name="прил 4" sheetId="1" r:id="rId1"/>
    <sheet name="прил 5" sheetId="2" r:id="rId2"/>
  </sheets>
  <externalReferences>
    <externalReference r:id="rId5"/>
  </externalReferences>
  <definedNames>
    <definedName name="_xlnm._FilterDatabase" localSheetId="0" hidden="1">'прил 4'!$A$17:$G$495</definedName>
    <definedName name="_xlnm._FilterDatabase" localSheetId="1" hidden="1">'прил 5'!$A$15:$G$350</definedName>
    <definedName name="_xlnm.Print_Area" localSheetId="0">'прил 4'!$A$8:$G$495</definedName>
    <definedName name="_xlnm.Print_Area" localSheetId="1">'прил 5'!$A$8:$F$350</definedName>
    <definedName name="_xlnm.Print_Titles" localSheetId="0">'прил 4'!$A:$B,'прил 4'!$15:$17</definedName>
    <definedName name="QQQ" localSheetId="0" hidden="1">{#N/A,#N/A,FALSE,"Вып.доходы"}</definedName>
    <definedName name="QQQ" hidden="1">{#N/A,#N/A,FALSE,"Вып.доходы"}</definedName>
    <definedName name="s" localSheetId="0" hidden="1">{#N/A,#N/A,FALSE,"Вып.доходы"}</definedName>
    <definedName name="s" hidden="1">{#N/A,#N/A,FALSE,"Вып.доходы"}</definedName>
    <definedName name="TableHeaderYear1">'прил 5'!#REF!</definedName>
    <definedName name="wrn.выпдох." localSheetId="0" hidden="1">{#N/A,#N/A,FALSE,"Вып.доходы"}</definedName>
    <definedName name="wrn.выпдох." hidden="1">{#N/A,#N/A,FALSE,"Вып.доходы"}</definedName>
    <definedName name="Year">'прил 5'!$A$9</definedName>
    <definedName name="ААА" localSheetId="0" hidden="1">{#N/A,#N/A,FALSE,"Вып.доходы"}</definedName>
    <definedName name="ААА" hidden="1">{#N/A,#N/A,FALSE,"Вып.доходы"}</definedName>
    <definedName name="в" localSheetId="0" hidden="1">{#N/A,#N/A,FALSE,"Вып.доходы"}</definedName>
    <definedName name="в" hidden="1">{#N/A,#N/A,FALSE,"Вып.доходы"}</definedName>
    <definedName name="глшгл" hidden="1">{#N/A,#N/A,FALSE,"Вып.доходы"}</definedName>
    <definedName name="гпш" hidden="1">{#N/A,#N/A,FALSE,"Вып.доходы"}</definedName>
    <definedName name="д" localSheetId="0" hidden="1">{#N/A,#N/A,FALSE,"Вып.доходы"}</definedName>
    <definedName name="д" hidden="1">{#N/A,#N/A,FALSE,"Вып.доходы"}</definedName>
    <definedName name="е" localSheetId="0" hidden="1">{#N/A,#N/A,FALSE,"Вып.доходы"}</definedName>
    <definedName name="е" hidden="1">{#N/A,#N/A,FALSE,"Вып.доходы"}</definedName>
    <definedName name="Еще" localSheetId="0" hidden="1">{#N/A,#N/A,FALSE,"Вып.доходы"}</definedName>
    <definedName name="Еще" hidden="1">{#N/A,#N/A,FALSE,"Вып.доходы"}</definedName>
    <definedName name="й" localSheetId="0" hidden="1">{#N/A,#N/A,FALSE,"Вып.доходы"}</definedName>
    <definedName name="й" hidden="1">{#N/A,#N/A,FALSE,"Вып.доходы"}</definedName>
    <definedName name="к" localSheetId="0" hidden="1">{#N/A,#N/A,FALSE,"Вып.доходы"}</definedName>
    <definedName name="к" hidden="1">{#N/A,#N/A,FALSE,"Вып.доходы"}</definedName>
    <definedName name="л" localSheetId="0" hidden="1">{#N/A,#N/A,FALSE,"Вып.доходы"}</definedName>
    <definedName name="л" hidden="1">{#N/A,#N/A,FALSE,"Вып.доходы"}</definedName>
    <definedName name="н" hidden="1">{#N/A,#N/A,FALSE,"Вып.доходы"}</definedName>
    <definedName name="нг" hidden="1">{#N/A,#N/A,FALSE,"Вып.доходы"}</definedName>
    <definedName name="п" localSheetId="0" hidden="1">{#N/A,#N/A,FALSE,"Вып.доходы"}</definedName>
    <definedName name="п" hidden="1">{#N/A,#N/A,FALSE,"Вып.доходы"}</definedName>
    <definedName name="пп" localSheetId="0" hidden="1">{#N/A,#N/A,FALSE,"Вып.доходы"}</definedName>
    <definedName name="пп" hidden="1">{#N/A,#N/A,FALSE,"Вып.доходы"}</definedName>
    <definedName name="про" localSheetId="0" hidden="1">{#N/A,#N/A,FALSE,"Вып.доходы"}</definedName>
    <definedName name="про" hidden="1">{#N/A,#N/A,FALSE,"Вып.доходы"}</definedName>
    <definedName name="пру" localSheetId="0" hidden="1">{#N/A,#N/A,FALSE,"Вып.доходы"}</definedName>
    <definedName name="пру" hidden="1">{#N/A,#N/A,FALSE,"Вып.доходы"}</definedName>
    <definedName name="р" localSheetId="0" hidden="1">{#N/A,#N/A,FALSE,"Вып.доходы"}</definedName>
    <definedName name="р" hidden="1">{#N/A,#N/A,FALSE,"Вып.доходы"}</definedName>
    <definedName name="рр" localSheetId="0" hidden="1">{#N/A,#N/A,FALSE,"Вып.доходы"}</definedName>
    <definedName name="рр" hidden="1">{#N/A,#N/A,FALSE,"Вып.доходы"}</definedName>
    <definedName name="с" localSheetId="0" hidden="1">{#N/A,#N/A,FALSE,"Вып.доходы"}</definedName>
    <definedName name="с" hidden="1">{#N/A,#N/A,FALSE,"Вып.доходы"}</definedName>
    <definedName name="у" localSheetId="0" hidden="1">{#N/A,#N/A,FALSE,"Вып.доходы"}</definedName>
    <definedName name="у" hidden="1">{#N/A,#N/A,FALSE,"Вып.доходы"}</definedName>
    <definedName name="укке" hidden="1">{#N/A,#N/A,FALSE,"Вып.доходы"}</definedName>
    <definedName name="уц" hidden="1">{#N/A,#N/A,FALSE,"Вып.доходы"}</definedName>
    <definedName name="функ" localSheetId="0" hidden="1">{#N/A,#N/A,FALSE,"Вып.доходы"}</definedName>
    <definedName name="функ" hidden="1">{#N/A,#N/A,FALSE,"Вып.доходы"}</definedName>
    <definedName name="х" localSheetId="0" hidden="1">{#N/A,#N/A,FALSE,"Вып.доходы"}</definedName>
    <definedName name="х" hidden="1">{#N/A,#N/A,FALSE,"Вып.доходы"}</definedName>
    <definedName name="ц" localSheetId="0" hidden="1">{#N/A,#N/A,FALSE,"Вып.доходы"}</definedName>
    <definedName name="ц" hidden="1">{#N/A,#N/A,FALSE,"Вып.доходы"}</definedName>
    <definedName name="цукц" hidden="1">{#N/A,#N/A,FALSE,"Вып.доходы"}</definedName>
    <definedName name="ш" hidden="1">{#N/A,#N/A,FALSE,"Вып.доходы"}</definedName>
    <definedName name="щз" hidden="1">{#N/A,#N/A,FALSE,"Вып.доходы"}</definedName>
    <definedName name="щню.п" hidden="1">{#N/A,#N/A,FALSE,"Вып.доходы"}</definedName>
  </definedNames>
  <calcPr fullCalcOnLoad="1"/>
</workbook>
</file>

<file path=xl/sharedStrings.xml><?xml version="1.0" encoding="utf-8"?>
<sst xmlns="http://schemas.openxmlformats.org/spreadsheetml/2006/main" count="3283" uniqueCount="434">
  <si>
    <t>№ п/п</t>
  </si>
  <si>
    <t xml:space="preserve">Наименование </t>
  </si>
  <si>
    <t>ГРС</t>
  </si>
  <si>
    <t>Раздел, под-раздел</t>
  </si>
  <si>
    <t>Целевая статья</t>
  </si>
  <si>
    <t>Собрание депутатов Елизовского городского поселения</t>
  </si>
  <si>
    <t>911</t>
  </si>
  <si>
    <t>Общегосударственные вопросы</t>
  </si>
  <si>
    <t>01</t>
  </si>
  <si>
    <t>Непрограммные расходы</t>
  </si>
  <si>
    <t>99 0 00 00000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</si>
  <si>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</si>
  <si>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</si>
  <si>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</si>
  <si>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</si>
  <si>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/>
  </si>
  <si>
    <t xml:space="preserve">Непрограммные расходы. Обеспечение деятельности муниципальных органов власти (муниципальных органов), за исключением обособленных расходов, которым присваиваются уникальные коды </t>
  </si>
  <si>
    <t>99 0 00 10010</t>
  </si>
  <si>
    <t>Закупка товаров, работ и услуг для государственных (муниципальных) нужд</t>
  </si>
  <si>
    <t>200</t>
  </si>
  <si>
    <t>Иные бюджетные ассигнования</t>
  </si>
  <si>
    <t>800</t>
  </si>
  <si>
    <t>Непрограммные расходы. Заместители председателя представительного органа муниципального образования</t>
  </si>
  <si>
    <t>99 0 00 10040</t>
  </si>
  <si>
    <t xml:space="preserve">Контрольно-счетная палата Елизовского городского поселения </t>
  </si>
  <si>
    <t>913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</si>
  <si>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</si>
  <si>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</si>
  <si>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Непрограммные расходы. Руководитель Контрольно-счетной палаты муниципального образования и его заместители</t>
  </si>
  <si>
    <t>99 0 00 10060</t>
  </si>
  <si>
    <t>Администрация Елизовского городского поселения</t>
  </si>
  <si>
    <t>912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</si>
  <si>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</si>
  <si>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</si>
  <si>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Непрограммные расходы. Глава местной администрации</t>
  </si>
  <si>
    <t>99 0 00 10030</t>
  </si>
  <si>
    <t>Резервные фонды</t>
  </si>
  <si>
    <t>0111</t>
  </si>
  <si>
    <t>Непрограммные расходы. Резервный фонд местной администрации</t>
  </si>
  <si>
    <t>99 0 00 10080</t>
  </si>
  <si>
    <t>Другие общегосударственные вопросы</t>
  </si>
  <si>
    <t>0113</t>
  </si>
  <si>
    <t>Непрограммные расходы. Расходы на реализацию мероприятий, связанных с осуществлением наказов избирателей депутатам Собрания депутатов Елизовского городского поселения</t>
  </si>
  <si>
    <t>99 0 00 60040</t>
  </si>
  <si>
    <t>Социальная политика</t>
  </si>
  <si>
    <t>10</t>
  </si>
  <si>
    <t>Социальное обеспечение населения</t>
  </si>
  <si>
    <t>1003</t>
  </si>
  <si>
    <t>99 0 00 20010</t>
  </si>
  <si>
    <t>Социальное обеспечение и иные выплаты населению</t>
  </si>
  <si>
    <t>300</t>
  </si>
  <si>
    <t>Управление финансов и экономического развития администрации Елизовского городского поселения</t>
  </si>
  <si>
    <t>914</t>
  </si>
  <si>
    <t>03 0 00 00000</t>
  </si>
  <si>
    <t>03 0 01 09990</t>
  </si>
  <si>
    <t>Пенсионное обеспечение</t>
  </si>
  <si>
    <t>1001</t>
  </si>
  <si>
    <t>Непрограммные расходы. Доплаты к пенсиям муниципальных служащих</t>
  </si>
  <si>
    <t>99 0 00 20030</t>
  </si>
  <si>
    <t>Управление жилищно-коммунального хозяйства администрации Елизовского городского поселения</t>
  </si>
  <si>
    <t>915</t>
  </si>
  <si>
    <t>Предоставление субсидий бюджетным, автономным учреждениям и иным некоммерческим организациям</t>
  </si>
  <si>
    <t>600</t>
  </si>
  <si>
    <t>Национальная экономика</t>
  </si>
  <si>
    <t>04</t>
  </si>
  <si>
    <t>Дорожное хозяйство (дорожные фонды)</t>
  </si>
  <si>
    <t>0409</t>
  </si>
  <si>
    <t>01 0 00 00000</t>
  </si>
  <si>
    <t>01 2 00 00000</t>
  </si>
  <si>
    <t>Жилищно-коммунальное хозяйство</t>
  </si>
  <si>
    <t>05</t>
  </si>
  <si>
    <t>Жилищное хозяйство</t>
  </si>
  <si>
    <t>0501</t>
  </si>
  <si>
    <t>12 0 00 00000</t>
  </si>
  <si>
    <t xml:space="preserve">Основное мероприятие "Выполнение работ по восстановительному ремонту жилых помещений, находящихся в собственности Елизовского городского поселения". Реализация  мероприятий соответствующей программы, подпрограммы в рамках соответствующей муниципальной программы Елизовского городского поселения, за исключением обособленных расходов, которым присваиваются уникальные коды </t>
  </si>
  <si>
    <t>12 0 01 09990</t>
  </si>
  <si>
    <t>Коммунальное хозяйство</t>
  </si>
  <si>
    <t>0502</t>
  </si>
  <si>
    <t>Непрограммные расходы.</t>
  </si>
  <si>
    <t>10 0 00 00000</t>
  </si>
  <si>
    <t>10 1 00 00000</t>
  </si>
  <si>
    <t xml:space="preserve">Основное мероприятие "Модернизация систем энерго-, теплоснабжения на территории Елизовского городского поселения". Реализация  мероприятий соответствующей программы, подпрограммы в рамках соответствующей муниципальной программы Елизовского городского поселения, за исключением обособленных расходов, которым присваиваются уникальные коды </t>
  </si>
  <si>
    <t>10 1 02 09990</t>
  </si>
  <si>
    <t>Благоустройство</t>
  </si>
  <si>
    <t>0503</t>
  </si>
  <si>
    <t>Подпрограмма "Современная городская среда в Елизовском городском поселении"</t>
  </si>
  <si>
    <t>01 1 00 00000</t>
  </si>
  <si>
    <t>Непрограммные расходы. Расходы на обеспечение деятельности (оказание услуг) МБУ "Благоустройство города Елизово", в том числе на предоставление субсидий</t>
  </si>
  <si>
    <t>99 0 00 70010</t>
  </si>
  <si>
    <t>99 0 00 60010</t>
  </si>
  <si>
    <t xml:space="preserve">Непрограммные расходы. Организация и содержание мест захоронения </t>
  </si>
  <si>
    <t>99 0 00 60020</t>
  </si>
  <si>
    <t>Непрограммные расходы. Перевозка бесхозного имущества на площадку спецхранения</t>
  </si>
  <si>
    <t>99 0 00 60030</t>
  </si>
  <si>
    <t>Непрограммные расходы. Плата за размещение объектов наружного освещения</t>
  </si>
  <si>
    <t>99 0 00 60060</t>
  </si>
  <si>
    <t>Другие вопросы в области жилищно-коммунального хозяйства</t>
  </si>
  <si>
    <t>0505</t>
  </si>
  <si>
    <t>Основное мероприятие "Проведение мероприятий, направленных на ремонт ветхих и аварийных сетей".  Решение вопросов местного значения городского поселения в рамках соответствующей государственной программы Камчатского края (софинансирование за счет средств местного бюджета)</t>
  </si>
  <si>
    <t>99 0 00 20050</t>
  </si>
  <si>
    <t>Непрограммные расходы. Расходы на обеспечение деятельности (оказание услуг) МКУ "Служба по развитию жилищно-коммунальной инфраструктуры, благоустройства и транспорта", в том числе на предоставление субсидий</t>
  </si>
  <si>
    <t>99 0 00 70050</t>
  </si>
  <si>
    <t>09 0 00 00000</t>
  </si>
  <si>
    <t xml:space="preserve">Основное мероприятие "Совершенствование организации безопасного движения транспортных средств и пешеходов". Реализация  мероприятий соответствующей программы, подпрограммы в рамках соответствующей муниципальной программы Елизовского городского поселения, за исключением обособленных расходов, которым присваиваются уникальные коды </t>
  </si>
  <si>
    <t>06 0 00 00000</t>
  </si>
  <si>
    <t>06 1 00 00000</t>
  </si>
  <si>
    <t>Основное мероприятие "Мероприятия по содержанию автомобильных дорог общего пользования местного значения Елизовского городского поселения, а также искусственных сооружений на них". Решение вопросов местного значения городского поселения в рамках соответствующей государственной программы Камчатского края</t>
  </si>
  <si>
    <t>Основное мероприятие "Мероприятия по содержанию автомобильных дорог общего пользования местного значения Елизовского городского поселения, а также искусственных сооружений на них". Решение вопросов местного значения городского поселения в рамках соответствующей государственной программы Камчатского края (софинансирование за счет средств местного бюджета)</t>
  </si>
  <si>
    <t>Непрограммные расходы. 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</si>
  <si>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99 0 00 10100</t>
  </si>
  <si>
    <t>Управление имущественных отношений администрации Елизовского городского поселения</t>
  </si>
  <si>
    <t>916</t>
  </si>
  <si>
    <t>02 0 00 00000</t>
  </si>
  <si>
    <t xml:space="preserve">Основное мероприятие "Подготовка технической документации на объекты недвижимости".  Реализация  мероприятий соответствующей программы, подпрограммы в рамках соответствующей муниципальной программы Елизовского городского поселения, за исключением обособленных расходов, которым присваиваются уникальные коды </t>
  </si>
  <si>
    <t>02 0 01 09990</t>
  </si>
  <si>
    <t xml:space="preserve">Основное мероприятие "Оценка рыночной стоимости объектов муниципальной собственности Елизовского городского поселения". Реализация  мероприятий соответствующей программы, подпрограммы в рамках соответствующей муниципальной программы Елизовского городского поселения, за исключением обособленных расходов, которым присваиваются уникальные коды </t>
  </si>
  <si>
    <t>02 0 04 09990</t>
  </si>
  <si>
    <t>14 0 00 00000</t>
  </si>
  <si>
    <t xml:space="preserve">Управление архитектуры и градостроительства администрации Елизовского городского поселения </t>
  </si>
  <si>
    <t>918</t>
  </si>
  <si>
    <t xml:space="preserve">Основное мероприятие "Формирование и проведение государственного кадастрового учета земельных участков". Реализация  мероприятий соответствующей программы, подпрограммы в рамках соответствующей муниципальной программы Елизовского городского поселения, за исключением обособленных расходов, которым присваиваются уникальные коды </t>
  </si>
  <si>
    <t>02 0 05 09990</t>
  </si>
  <si>
    <t xml:space="preserve">Основное мероприятие "Формирование и проведение государственного кадастрового учета земельных участков уличной дорожной сети". Реализация  мероприятий соответствующей программы, подпрограммы в рамках соответствующей муниципальной программы Елизовского городского поселения, за исключением обособленных расходов, которым присваиваются уникальные коды </t>
  </si>
  <si>
    <t>02 0 06 09990</t>
  </si>
  <si>
    <t>14 1 00 00000</t>
  </si>
  <si>
    <t>14 2 00 00000</t>
  </si>
  <si>
    <t>Подпрограмма "Благоустройство территории Елизовского городского поселения"</t>
  </si>
  <si>
    <t>Отдел по культуре, молодежной политике, физической культуре и спорту администрации Елизовского городского поселения</t>
  </si>
  <si>
    <t>919</t>
  </si>
  <si>
    <t>Образование</t>
  </si>
  <si>
    <t>07</t>
  </si>
  <si>
    <t>0707</t>
  </si>
  <si>
    <t>08 0 00 00000</t>
  </si>
  <si>
    <t xml:space="preserve">Основное мероприятие "Вовлечение молодежи в социальную практику и ее информирование о потенциальных возможностях развития". Реализация  мероприятий соответствующей программы, подпрограммы в рамках соответствующей муниципальной программы Елизовского городского поселения, за исключением обособленных расходов, которым присваиваются уникальные коды </t>
  </si>
  <si>
    <t xml:space="preserve">Основное мероприятие "Укрепление института молодой семьи". Реализация  мероприятий соответствующей программы, подпрограммы в рамках соответствующей муниципальной программы Елизовского городского поселения, за исключением обособленных расходов, которым присваиваются уникальные коды </t>
  </si>
  <si>
    <t xml:space="preserve"> </t>
  </si>
  <si>
    <t>Культура, кинематография</t>
  </si>
  <si>
    <t>08</t>
  </si>
  <si>
    <t>Культура</t>
  </si>
  <si>
    <t>0801</t>
  </si>
  <si>
    <t>04 0 00 00000</t>
  </si>
  <si>
    <t>Физическая культура и спорт</t>
  </si>
  <si>
    <t>11</t>
  </si>
  <si>
    <t>Физическая культура</t>
  </si>
  <si>
    <t>1101</t>
  </si>
  <si>
    <t>Непрограммные расходы. Расходы на обеспечение деятельности (оказание услуг) МАУ "Елизовский городской спортивный физкультурно-оздоровительный центр", в том числе на предоставление субсидий</t>
  </si>
  <si>
    <t>99 0 00 70040</t>
  </si>
  <si>
    <t>08 1 00 00000</t>
  </si>
  <si>
    <t>08 1 01 09990</t>
  </si>
  <si>
    <t xml:space="preserve">Управление делами администрации Елизовского городского поселения </t>
  </si>
  <si>
    <t>920</t>
  </si>
  <si>
    <t>99 0 00 40080</t>
  </si>
  <si>
    <t xml:space="preserve">Основное мероприятие "Проведение мероприятий по разъяснению сущности терроризма и его общественной опасности, формированию стойкого неприятия обществом, прежде всего молодежью, идеологии терроризма в различных его проявлениях". Реализация  мероприятий соответствующей программы, подпрограммы в рамках соответствующей муниципальной программы Елизовского городского поселения, за исключением обособленных расходов, которым присваиваются уникальные коды </t>
  </si>
  <si>
    <t>Национальная безопасность и правоохранительная деятельность</t>
  </si>
  <si>
    <t>03</t>
  </si>
  <si>
    <t>07 0 00 00000</t>
  </si>
  <si>
    <t>Основное мероприятие "Повышение уровня защиты населения от чрезвычайных ситуаций природного и техногенного характера, пожарной безопасности и безопасности людей на водных объектах". Реализация  мероприятий соответствующей программы, подпрограммы в рамках соответствующей муниципальной программы Елизовского городского поселения, за исключением обособленных расходов, которым присваиваются уникальные коды</t>
  </si>
  <si>
    <t>07 0 01 09990</t>
  </si>
  <si>
    <t>Непрограммые расходы. Расходы на обеспечение деятельности (оказание услуг) МКУ "Служба по обеспечению деятельности администрации Елизовского городского поселения", в том числе на предоставление субсидий</t>
  </si>
  <si>
    <t>99 0 00 70060</t>
  </si>
  <si>
    <t>ИТОГО РАСХОДОВ:</t>
  </si>
  <si>
    <t xml:space="preserve">Содержание ОМС </t>
  </si>
  <si>
    <t>Установленный норматив</t>
  </si>
  <si>
    <t>До предельного норматива</t>
  </si>
  <si>
    <t>Доходы</t>
  </si>
  <si>
    <t>Дефицит</t>
  </si>
  <si>
    <t>Предельный без остатка</t>
  </si>
  <si>
    <t>Предельный с остатком</t>
  </si>
  <si>
    <t>До предельного без остатка</t>
  </si>
  <si>
    <t>До предельного с остатком</t>
  </si>
  <si>
    <t>Наименование</t>
  </si>
  <si>
    <t>Раздел</t>
  </si>
  <si>
    <t>Подраздел</t>
  </si>
  <si>
    <t>Вид расходов</t>
  </si>
  <si>
    <t>2</t>
  </si>
  <si>
    <t>3</t>
  </si>
  <si>
    <t>02</t>
  </si>
  <si>
    <t>Непрограммные расходы. Председатель представительного органа муниципального образования и его заместители</t>
  </si>
  <si>
    <t>06</t>
  </si>
  <si>
    <t>13</t>
  </si>
  <si>
    <t>09</t>
  </si>
  <si>
    <t>Непрограммые расходы</t>
  </si>
  <si>
    <t>Всего</t>
  </si>
  <si>
    <t xml:space="preserve">Основное мероприятие "Денежные призы в рамках реализации конкурса "Лучшее новогоднее оформление внешнего вида фасадов зданий и прилегающих к ним территорий в Елизовском городском поселении к празднованию Нового года". Реализация  мероприятий соответствующей программы, подпрограммы в рамках соответствующей муниципальной программы Елизовского городского поселения, за исключением обособленных расходов, которым присваиваются уникальные коды </t>
  </si>
  <si>
    <t xml:space="preserve">Основное мероприятие "Содержание муниципального имущества Елизовского городского поселения". Реализация  мероприятий соответствующей программы, подпрограммы в рамках соответствующей муниципальной программы Елизовского городского поселения, за исключением обособленных расходов, которым присваиваются уникальные коды </t>
  </si>
  <si>
    <t>Муниципальная программа "Обеспечение доступным и комфортным жильем жителей Елизовского городского поселения"</t>
  </si>
  <si>
    <t>Подпрограмма А "Региональная адресная программа по переселению граждан из аварийного жилищного фонда в Елизовском городском поселении"</t>
  </si>
  <si>
    <t>14 A 00 00000</t>
  </si>
  <si>
    <t>Муниципальная программа "Развитие субъектов малого и среднего предпринимательства в Елизовском городском поселении"</t>
  </si>
  <si>
    <t>02 0 07 09990</t>
  </si>
  <si>
    <t>Подпрограмма "Стимулирование развития жилищного строительства в Елизовском городском поселении"</t>
  </si>
  <si>
    <t xml:space="preserve">Муниципальная программа "Формирование современной городской среды в Елизовском городском поселении" </t>
  </si>
  <si>
    <t>Муниципальная программа "Физическая культура, спорт, молодежная политика, отдых  и оздоровление детей в Елизовском городском поселении"</t>
  </si>
  <si>
    <t>Подпрограмма "Развитие массовой физической культуры и спорта в Елизовском городском поселении"</t>
  </si>
  <si>
    <t>08 1 02 09990</t>
  </si>
  <si>
    <t>08 2 00 00000</t>
  </si>
  <si>
    <t>Подпрограмма "Молодежь Елизовского городского поселения"</t>
  </si>
  <si>
    <t>08 2 01 09990</t>
  </si>
  <si>
    <t>08 2 02 09990</t>
  </si>
  <si>
    <t>Непрограммные расходы. Расходы на обеспечение деятельности (оказание услуг) МАУ культуры Киноконцертный досуговый центр "Гейзер", в том числе на предоставление субсидий</t>
  </si>
  <si>
    <t>99 0 00 70020</t>
  </si>
  <si>
    <t>Муниципальная программа "Развитие культуры в Елизовском городском поселении"</t>
  </si>
  <si>
    <t>Подпрограмма "Традиционная культура и народное творчество в Елизовском городском поселении"</t>
  </si>
  <si>
    <t>04 1 00 00000</t>
  </si>
  <si>
    <t>04 1 01 09990</t>
  </si>
  <si>
    <t>14 3 00 00000</t>
  </si>
  <si>
    <t xml:space="preserve"> - расходы за счет средств местного бюджета</t>
  </si>
  <si>
    <t xml:space="preserve"> - расходы за счет средств краевого бюджета</t>
  </si>
  <si>
    <t>Муниципальная программа "Физическая культура, спорт, молодежная политика, отдых и оздоровление детей в Елизовском городском поселении"</t>
  </si>
  <si>
    <t xml:space="preserve">Основное мероприятие "Совершенствование материально-технической базы для занятий физической культурой и спортом".  Реализация  мероприятий соответствующей программы, подпрограммы в рамках соответствующей муниципальной программы Елизовского городского поселения, за исключением обособленных расходов, которым присваиваются уникальные коды </t>
  </si>
  <si>
    <t>Подпрограмма "Профилактика правонарушений, преступлений и повышение безопасности дорожного движения в Елизовском городском поселении"</t>
  </si>
  <si>
    <t>09 1 00 00000</t>
  </si>
  <si>
    <t>09 1 02 09990</t>
  </si>
  <si>
    <t>Подпрограмма "Профилактика терроризма и экстремизма в Елизовском городском поселении"</t>
  </si>
  <si>
    <t>09 2 01 09990</t>
  </si>
  <si>
    <t>09 2 00 00000</t>
  </si>
  <si>
    <t>Муниципальная программа "Защита населения, территории от чрезвычайных ситуаций, обеспечение пожарной безопасности, развитие гражданской обороны на территории Елизовского городского поселения"</t>
  </si>
  <si>
    <t>0408</t>
  </si>
  <si>
    <t>Транспорт</t>
  </si>
  <si>
    <t>Подпрограмма "Профилактика правонарушений, преступлений и повышение безопасности дорожного движения в Елизовском городском поселении в 2020-2022 году"</t>
  </si>
  <si>
    <t>0412</t>
  </si>
  <si>
    <t>Другие вопросы в области национальной экономики</t>
  </si>
  <si>
    <t>13 0 00 00000</t>
  </si>
  <si>
    <t>Подпрограмма "Энергосбережение и повышение энергетической эффективности объектов жилищного фонда в Елизовском городском поселении"</t>
  </si>
  <si>
    <t>Муниципальная программа "Энергоэффективность, развитие энергетики и коммунального хозяйства, обеспечение жителей Елизовского городского поселения коммунальными услугами и услугами по благоустройству территории"</t>
  </si>
  <si>
    <t>Основное мероприятие "Проведение мероприятий, направленных на приобретение, установку резервных источников электроснабжения на объектах тело-, водоснабжения и водоотведения". Решение вопросов местного значения городского поселения в рамках соответствующей государственной программы Камчатского края</t>
  </si>
  <si>
    <t>10 1 03 4006В</t>
  </si>
  <si>
    <t>Муниципальная программа "Энергоэффективность, развитие энергетики и коммунального хозяйства, обеспечение жителей Елизовского городского поселения коммунальными услугами и услугами по благоустройству территории".</t>
  </si>
  <si>
    <t>10 1 01 4006В</t>
  </si>
  <si>
    <t>Основное мероприятие "Проведение мероприятий, направленных на ремонт ветхих и аварийных сетей".  Решение вопросов местного значения городского поселения в рамках соответствующей государственной программы Камчатского края</t>
  </si>
  <si>
    <t>10 1 04 09990</t>
  </si>
  <si>
    <t>Муниципальная программа "Проведение восстановительного ремонта жилых помещений муниципального жилищного фонда в Елизовском городском поселении"</t>
  </si>
  <si>
    <t>Непрограммные расходы. Субсидия юридическим лицам (за исключением государственных (муниципальных) учреждений), и индивидуальным предпринимателям в целях возмещения затрат по вопросам похоронного дела</t>
  </si>
  <si>
    <t>99 0 00 10160</t>
  </si>
  <si>
    <t xml:space="preserve">Основное мероприятие "Подготовка технической документации на объекты недвижимости".  Реализация  мероприятий соответствующей программы, подпрограммы в рамках соответствующей муниципальной программы Елизовского городского поселения, за исключением обособленных расходов, которым присваиваются уникальные коды  </t>
  </si>
  <si>
    <t>Подпрограмма "Повышение устойчивости жилых домов, основных объектов и систем жизнеобеспечения в Елизовском городском поселении"</t>
  </si>
  <si>
    <t xml:space="preserve">Основное мероприятие "Обследование на сейсмостойкость многоквартирных домов". Реализация  мероприятий соответствующей программы, подпрограммы в рамках соответствующей муниципальной программы Елизовского городского поселения, за исключением обособленных расходов, которым присваиваются уникальные коды </t>
  </si>
  <si>
    <t>14 2 01 09990</t>
  </si>
  <si>
    <t>Подпрограмма "Развитие дорожного хозяйства в Елизовском городском поселении"</t>
  </si>
  <si>
    <t>12</t>
  </si>
  <si>
    <t>Муниципальная программа "Энергоэффективность, развитие энергетики и коммунального хозяйства, обеспечение жителей Елизовского городского поселения коммунальными услугами"</t>
  </si>
  <si>
    <t>Муниципальная программа "Создание и развитие туристской инфраструктуры в Елизовском городском поселении"</t>
  </si>
  <si>
    <t>Непрограммные расходы. Электроэнергия уличного освещения, электроснабжение светофорных объектов</t>
  </si>
  <si>
    <t>Основное мероприятие "Совершенствование организации безопасного движения транспортных средств и пешеходов". Решение вопросов местного значения городского поселения в рамках соответствующей государственной программы Камчатского края (софинансирование за счет средств местного бюджета)</t>
  </si>
  <si>
    <t>Основное мероприятие "Совершенствование организации безопасного движения транспортных средств и пешеходов". Решение вопросов местного значения городского поселения в рамках соответствующей государственной программы Камчатского края</t>
  </si>
  <si>
    <t>09 1 02 4006К</t>
  </si>
  <si>
    <t>Основное мероприятие "Проведение мероприятий, направленных на приобретение, установку резервных источников электроснабжения на объектах тело-, водоснабжения и водоотведения". Решение вопросов местного значения городского поселения в рамках соответствующей государственной программы Камчатского края (софинансирование за счет средств местного бюджета)</t>
  </si>
  <si>
    <t xml:space="preserve"> - расходы за счет средств федерального бюджета</t>
  </si>
  <si>
    <t>Подпрограмма "Развитие дорожного хозяйства в Елизовском городском поселении". Решение вопросов местного значения городского поселения в рамках соответствующей государственной программы Камчатского края</t>
  </si>
  <si>
    <t>Основное мероприятие "Поддержка граждан и объединений, участвующих в охране общественного порядка, создание условий для деятельности народных дружин". Решение вопросов местного значения в рамках соответствующей государственной программы Камчатского края</t>
  </si>
  <si>
    <t>Коды</t>
  </si>
  <si>
    <t>Молодежная политика</t>
  </si>
  <si>
    <t xml:space="preserve">Непрограммные расходы. Выплаты несоциального характера гражданам, удостоенным звания "Почетный гражданин города "Елизово"        </t>
  </si>
  <si>
    <t xml:space="preserve">Основное мероприятие "Проведение конкурса "Лучшее новогоднее оформление внешнего вида фасадов зданий и прилегающих к ним территорий в Елизовском городском поселении к празднованию Нового года". Реализация  мероприятий соответствующей программы, подпрограммы в рамках соответствующей муниципальной программы Елизовского городского поселения, за исключением обособленных расходов, которым присваиваются уникальные коды </t>
  </si>
  <si>
    <t>Основное мероприятие "Предоставление межбюджетных трансфертов местным бюджетам на решение вопросов местного значения в сфере благоустройства территорий".  Реализация  мероприятий соответствующей программы, подпрограммы в рамках соответствующей муниципальной программы Елизовского городского поселения, за исключением обособленных расходов, которым присваиваются уникальные коды</t>
  </si>
  <si>
    <t>01 2 02 09990</t>
  </si>
  <si>
    <t>Муниципальная программа "Профилактика правонарушений, терроризма, экстремизма, наркомании и алкоголизма в Елизовском городском поселении"</t>
  </si>
  <si>
    <t>02 0 09 09990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</si>
  <si>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</si>
  <si>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</si>
  <si>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Муниципальная программа "Управление и распоряжение муниципальным имуществом в Елизовском городском поселении"</t>
  </si>
  <si>
    <t>Муниципальная программа "Развитие транспортной системы Елизовского городского поселения"</t>
  </si>
  <si>
    <t>09 1 01 4006К</t>
  </si>
  <si>
    <t>07 0 02 09990</t>
  </si>
  <si>
    <t>Основное мероприятие "Развитие и содержание комплексной системы экстренного оповещения населения об угрозе возникновения или о возникновении чрезвычайных ситуаций природного и техногенного характера и региональной автоматизированной системы централизованного оповещения населения Камчатского края, в том числе муниципального уровня". Реализация  мероприятий соответствующей программы, подпрограммы в рамках соответствующей муниципальной программы Елизовского городского поселения, за исключением обособленных расходов, которым присваиваются уникальные коды.</t>
  </si>
  <si>
    <t xml:space="preserve">915 </t>
  </si>
  <si>
    <t>99 0 00 40240</t>
  </si>
  <si>
    <t>Непрограммные расходы. Выполнение государственных полномочий Камчатского края по вопросам предоставления гражданам субсидий на оплату жилых помещений и коммунальных услуг</t>
  </si>
  <si>
    <t>01 2 01 4006Ц</t>
  </si>
  <si>
    <t>Основное мероприятие "Капитальный ремонт и ремонт автомобильных дорог общего пользования населенных пунктов (в том числе элементов улично-дорожной сети, включая тротуары и парковки), дворовых территорий многоквартирных домов и проездов к ним". Решение вопросов местного значения городского поселения в рамках соответствующей государственной программы Камчатского края</t>
  </si>
  <si>
    <t>06 1 01 4006Г</t>
  </si>
  <si>
    <t>13 0 01 4006M</t>
  </si>
  <si>
    <t>0605</t>
  </si>
  <si>
    <t>11 0 00 00000</t>
  </si>
  <si>
    <t>11 2 00 00000</t>
  </si>
  <si>
    <t>Другие вопросы в области охраны окружающей среды</t>
  </si>
  <si>
    <t>Муниципальная программа "Обращение с отходами производства и потребления  в  Елизовском городском поселении"</t>
  </si>
  <si>
    <t>Подпрограмма "Развитие комплексной системы обращения с твердыми коммунальными отходами на территории Елизовского городского поселения"</t>
  </si>
  <si>
    <t>99 0 00 40130</t>
  </si>
  <si>
    <t>Непрограммные расходы. Выполнение государственных полномочий Камчатского края по предоставлению мер социальной поддержки отдельным категориям граждан, проживающим в Камчатском крае, по проезду на автомобильном транспорте общего пользования городского сообщения</t>
  </si>
  <si>
    <t>Охрана окружающей среды</t>
  </si>
  <si>
    <t>Подпрограмма "Обеспечение условий реализации программы"</t>
  </si>
  <si>
    <t>04 2 00 00000</t>
  </si>
  <si>
    <t>04 2 01 09990</t>
  </si>
  <si>
    <t xml:space="preserve">Основное мероприятие "Развитие инфраструктуры и системы управления в сфере культуры". Реализация  мероприятий соответствующей программы, подпрограммы в рамках соответствующей муниципальной программы Елизовского городского поселения, за исключением обособленных расходов, которым присваиваются уникальные коды </t>
  </si>
  <si>
    <t>14 A 02 09990</t>
  </si>
  <si>
    <t xml:space="preserve">Основное мероприятие "Снос аварийных жилых домов". Реализация  мероприятий соответствующей программы, подпрограммы в рамках соответствующей муниципальной программы Елизовского городского поселения, за исключением обособленных расходов, которым присваиваются уникальные коды </t>
  </si>
  <si>
    <t>Подпрограмма "Обеспечение жильем молодых семей в Елизовском городском поселении"</t>
  </si>
  <si>
    <t>-ИМТ на софинансирование выполнения расходных обязательств поселения</t>
  </si>
  <si>
    <t xml:space="preserve">Основное мероприятие "Модернизация систем энерго-, теплоснабжения и объектов коммунально-бытового назначения на территории Елизовского городского поселения". Реализация  мероприятий соответствующей программы, подпрограммы в рамках соответствующей муниципальной программы Елизовского городского поселения, за исключением обособленных расходов, которым присваиваются уникальные коды </t>
  </si>
  <si>
    <t xml:space="preserve">Основное мероприятие "Поддержка разнообразных видов и форм традиционной народной культуры и творческих инициатив в области художественного самодеятельного творчества и обеспечение доступа граждан к участию в культурной жизни Елизовского городского поселения". Реализация  мероприятий соответствующей программы, подпрограммы в рамках соответствующей муниципальной программы Елизовского городского поселения, за исключением обособленных расходов, которым присваиваются уникальные коды </t>
  </si>
  <si>
    <t xml:space="preserve">Основное мероприятие "Физическое воспитание и обеспечение организации и проведения физкультурных и массовых спортивных мероприятий".  Реализация  мероприятий соответствующей программы, подпрограммы в рамках соответствующей муниципальной программы Елизовского городского поселения, за исключением обособленных расходов, которым присваиваются уникальные коды </t>
  </si>
  <si>
    <t xml:space="preserve">Основное мероприятие "Доставка счетов-квитанций физическим лицам". Реализация  мероприятий соответствующей программы, подпрограммы в рамках соответствующей муниципальной программы Елизовского городского поселения, за исключением обособленных расходов, которым присваиваются уникальные коды </t>
  </si>
  <si>
    <t>02 0 10 09990</t>
  </si>
  <si>
    <t>01 1 F2 55550</t>
  </si>
  <si>
    <t>14 3 01 L4970</t>
  </si>
  <si>
    <t>09 1 01 Т006К</t>
  </si>
  <si>
    <t>09 1 02 Т006К</t>
  </si>
  <si>
    <t>01 2 01 Т006Ц</t>
  </si>
  <si>
    <t>06 1 01 Т006Г</t>
  </si>
  <si>
    <t>10 1 03 Т006В</t>
  </si>
  <si>
    <t>13 0 01 Т006М</t>
  </si>
  <si>
    <t>10 1 01 Т006В</t>
  </si>
  <si>
    <t>Основное мероприятие "Капитальный ремонт и ремонт автомобильных дорог общего пользования населенных пунктов (в том числе элементов улично-дорожной сети, включая тротуары и парковки), дворовых территорий многоквартирных домов и проездов к ним". Решение вопросов местного значения городского поселения в рамках соответствующей государственной программы Камчатского края (софинсирование за счет средств местного бюджета)</t>
  </si>
  <si>
    <t>Основное мероприятие "Поддержка граждан и объединений, участвующих в охране общественного порядка, создание условий для деятельности народных дружин". Решение вопросов местного значения городского поселения в рамках соответствующей государственной программы Камчатского края (софинансирование за счет средств местного бюджета)</t>
  </si>
  <si>
    <t>Основное мероприятие "Поддержка граждан и объединений, участвующих в охране общественного порядка, создание условий для деятельности народных дружин". Решение вопросов местного значения в рамках соответствующей государственной программы Камчатского края (софинансирование за счет средств местного бюджета)</t>
  </si>
  <si>
    <t>Основное мероприятие "Капитальный ремонт и ремонт автомобильных дорог общего пользования населенных пунктов (в том числе элементов улично-дорожной сети, включая тротуары и парковки), дворовых территорий многоквартирных домов и проездов к ним".  Решение вопросов местного значения городского поселения в рамках соответствующей государственной программы Камчатского края (софинансирование за счет средств местного бюджета)</t>
  </si>
  <si>
    <t>Ведомственная структура расходов  бюджета Елизовского городского поселения на 2022 год</t>
  </si>
  <si>
    <t>-ИМТ на софинансирование расходов по оплате коммунальных услуг муниципальных учреждений</t>
  </si>
  <si>
    <t>тыс. руб.</t>
  </si>
  <si>
    <t>Подпрограмма "Ликвидация мест стихийного несанкционированного размещения отходов производства и потребления на территории Елизовского городского поселения"</t>
  </si>
  <si>
    <t>11 1 00 00000</t>
  </si>
  <si>
    <t xml:space="preserve">Основное мероприятие "Уборка ТКО с территорий зеленых насаждений, вдоль дорог федерального и краевого значения вне полосы отвода дороги, водоохранных зон, входящих в территорию Елизовского городского поселения, с целью недопущения загрязнения окружающей среды".  Реализация  мероприятий соответствующей программы, подпрограммы в рамках соответствующей муниципальной программы Елизовского городского поселения, за исключением обособленных расходов, которым присваиваются уникальные коды </t>
  </si>
  <si>
    <t>11 1 01 09990</t>
  </si>
  <si>
    <t>Распределение бюджетных ассигнований по разделам, подразделам, целевым статьям (государственным программам и непрограммным направлениям деятельности), группам видов расходов классификации расходов бюджетов  на 2022 год</t>
  </si>
  <si>
    <t xml:space="preserve">Годовой объем ассигнований </t>
  </si>
  <si>
    <t>Муниципальная программа "Доступная среда для инвалидов и других маломобильных групп населения в Елизовском городском поселении"</t>
  </si>
  <si>
    <t>05 0 00 00000</t>
  </si>
  <si>
    <t>Основное мероприятие "Обследование доступности объектов для инвалидов и маломобильных групп населения". Реализация  мероприятий соответствующей программы, подпрограммы в рамках соответствующей муниципальной программы Елизовского городского поселения, за исключением обособленных расходов, которым присваиваются уникальные коды</t>
  </si>
  <si>
    <t>05 0 03 09990</t>
  </si>
  <si>
    <t>05 0 06 09990</t>
  </si>
  <si>
    <t>Основное мероприятие "Изготовление и монтаж приспособления общего имущества многоквартирного дома по адресу: г. Елизово, ул. Завойко 100А к нуждам инвалида-колясочника, проживающего в квартире № 3 данного дома". Реализация  мероприятий соответствующей программы, подпрограммы в рамках соответствующей муниципальной программы Елизовского городского поселения, за исключением обособленных расходов, которым присваиваются уникальные коды</t>
  </si>
  <si>
    <t>тыс.руб.</t>
  </si>
  <si>
    <t>Основное мероприятие "Предоставление молодым семьям - участникам Подпрограммы 3 социальных выплат на приобретение жилого помещения или строительство индивидуального жилого дома". Реализация мероприятий по обеспечению жильем молодых семей</t>
  </si>
  <si>
    <t>Региональный проект "Формирование комфортной городской среды". Реализация программ формирования современной городской среды</t>
  </si>
  <si>
    <t xml:space="preserve">Основное мероприятие "Проведение мероприятий по установке коллективных (общедомовых) приборов учета в многоквартирных домах в Камчатском крае, индивидуальных приборов учета на объектах муниципального жилищного фонда и жилых помещениях, находящихся в собственности граждан, признанных в установленном порядке  малоимущими, узлов учета коммунальных ресурсов на источниках тепло-, водоснабжения". Реализация  мероприятий соответствующей программы, подпрограммы в рамках соответствующей муниципальной программы Елизовского городского поселения, за исключением обособленных расходов, которым присваиваются уникальные коды </t>
  </si>
  <si>
    <t xml:space="preserve">Основное мероприятие "Проведение мероприятий по установке коллективных (общедомовых) приборов учета в многоквартирных домах Елизовского городского поселения, индивидуальных приборов учета на объектах муниципального жилищного фонда и в жилых помещениях, находящихся в собственности граждан, признанных в установленном порядке  малоимущими, узлов учета коммунальных ресурсов на источниках тепло-, водоснабжения". Реализация  мероприятий соответствующей программы, подпрограммы в рамках соответствующей муниципальной программы Елизовского городского поселения, за исключением обособленных расходов, которым присваиваются уникальные коды </t>
  </si>
  <si>
    <t>01 1 F2 54240</t>
  </si>
  <si>
    <t>Региональный проект "Формирование комфортной городской среды". Создание комфортной городской среды в мылых городах и исторических поселениях - победителях Всероссийского конкурса лучших проектов создания комфортной городской среды</t>
  </si>
  <si>
    <t>14 1 01 09990</t>
  </si>
  <si>
    <t>Региональный проект "Жилье"". Реализация  мероприятий соответствующей программы, подпрограммы в рамках соответствующей муниципальной программы Елизовского городского поселения, за исключением обособленных расходов, которым присваиваются уникальные коды</t>
  </si>
  <si>
    <t xml:space="preserve">Основное мероприятие "Выполнение работ по выносу на местности поворотных точек границ объектов недвижимости в ЕГП". Реализация  мероприятий соответствующей программы, подпрограммы в рамках соответствующей муниципальной программы Елизовского городского поселения, за исключением обособленных расходов, которым присваиваются уникальные коды </t>
  </si>
  <si>
    <t>Основное мероприятие "Развитие инфраструктуры туристских ресурсов в Камчатском крае".Решение вопросов местного значения городского поселения в рамках соответствующей государственной программы Камчатского края</t>
  </si>
  <si>
    <t>Основное мероприятие "Развитие инфраструктуры туристских ресурсов в Камчатском крае". Решение вопросов местного значения городского поселения в рамках соответствующей государственной программы Камчатского края (софинансирование за счет средств местного бюджета)</t>
  </si>
  <si>
    <t>01 1 02 09990</t>
  </si>
  <si>
    <t>Региональный проект "Формирование комфортной городской среды". Создание комфортной городской среды в мылых городах и исторических поселениях - победителях Всероссийского конкурса лучших проектов создания комфортной городской среды. Реализация  мероприятий соответствующей программы, подпрограммы в рамках соответствующей муниципальной программы Елизовского городского поселения, за исключением обособленных расходов, которым присваиваются уникальные коды</t>
  </si>
  <si>
    <t xml:space="preserve">-ИМТ на восстановление наружного освещения по ул.Белорусская г. Елизово      </t>
  </si>
  <si>
    <t xml:space="preserve">-ИМТ на благоустройство территории филиала детской поликлиники ГБУЗ КК "Елизовская районная больница" по адресу: г.Елизово, ул.Школьная, 3      </t>
  </si>
  <si>
    <t xml:space="preserve">-ИМТ  на стимулирование достижений наилучших показателей деятельности      </t>
  </si>
  <si>
    <t xml:space="preserve">-ИМТ на переданные полномочия      </t>
  </si>
  <si>
    <t xml:space="preserve">Основное мероприятие "Приспособление общего имущества многоквартирного дома по адресу: ул. Рябикова 51А к нуждам инвалида-колясочника, проживающего в квартире 50 данного дома". Реализация мероприятий соответствующей программы, подпрограммы в рамках соответствующей муниципальной программы Елизовского городского поселения, за исключением обособленных расходов, которым присваиваются уникальные коды        </t>
  </si>
  <si>
    <t>05 0 01 09990</t>
  </si>
  <si>
    <t>Непрограммные расходы. Расходы на обеспечение деятельности (оказание услуг) МКУ "Департамент строительства города Елизово", в том числе на предоставление субсидий</t>
  </si>
  <si>
    <t>99 0 00 70030</t>
  </si>
  <si>
    <t xml:space="preserve">Погашение кредиторской задолженности. Муниципальная программа "Профилактика правонарушений, терроризма, экстремизма, наркомании и алкоголизма в Елизовском городском поселении"        </t>
  </si>
  <si>
    <t>99 0 00 80010</t>
  </si>
  <si>
    <t xml:space="preserve">-ИМТ на переданные полномочия по приватизации  </t>
  </si>
  <si>
    <t xml:space="preserve">Региональный проект "Обеспечение устойчивого сокращения непригодного для проживания жилищного фонда" (A.F3.1 Переселение граждан из аварийного жилищного фонда в соответствии с жилищным законодательством). Решение вопросов местного значения городского поселения в рамках соответствующей государственной программы Камчатского края </t>
  </si>
  <si>
    <t>14 А F3 67483</t>
  </si>
  <si>
    <t>Капитальные вложения в объекты государственной (муниципальной) собственности</t>
  </si>
  <si>
    <t>400</t>
  </si>
  <si>
    <t>Непрограммные расходы.Расходы по исполнительному производству</t>
  </si>
  <si>
    <t>99 0 00 10220</t>
  </si>
  <si>
    <t>Региональный проект "Обеспечение устойчивого сокращения непригодного для проживания жилищного фонда" (A.F3.1 Переселение граждан из аварийного жилищного фонда в соответствии с жилищным законодательством).Решение вопросов местного значения городского поселения в рамках соответствующей государственной программы Камчатского края (софинансирование за счет средств местного бюджета)</t>
  </si>
  <si>
    <t>14 А F3 6748S</t>
  </si>
  <si>
    <t xml:space="preserve">». </t>
  </si>
  <si>
    <t xml:space="preserve">- ИМТ на реализацию мероприятий муниципальных программ Елизовского городского поселения  </t>
  </si>
  <si>
    <t xml:space="preserve">-ИМТ  на реализацию проекта Благоустройство территории "Городской парк отдыха у р. Половинка в Елизовском городском поселении Камчатского края" </t>
  </si>
  <si>
    <t xml:space="preserve">- Расходы на реализацию мероприятий, связанных с осуществлением наказов избирателей депутатам Собрания депутатов ЕГП   </t>
  </si>
  <si>
    <t>01 2 03 55053</t>
  </si>
  <si>
    <t>Основное мероприятие "Выявление случаев причинения вреда окружающей среде при размещении бесхозяйственных отходов, в том числе твердых коммунальных отходов, и ликвидация последствий такого вреда".  Решение вопросов местного значения городского поселения в рамках соответствующей государственной программы Камчатского края</t>
  </si>
  <si>
    <t>11 1 02 4006Ф</t>
  </si>
  <si>
    <t>11 1 02 Т006Ф</t>
  </si>
  <si>
    <t>Основное мероприятие "Выявление случаев причинения вреда окружающей среде при размещении бесхозяйственных отходов, в том числе твердых коммунальных отходов, и ликвидация последствий такого вреда". Решение вопросов местного значения городского поселения в рамках соответствующей государственной программы Камчатского края (софинансирование за счет средств местного бюджета)</t>
  </si>
  <si>
    <t>Основное мероприятие "Выявление случаев причинения вреда окружающей среде при размещении бесхозяйственных отходов шин, покрышек". Решение вопросов местного значения городского поселения в рамках соответствующей государственной программы Камчатского края (софинансирование за счет средств местного бюджета)</t>
  </si>
  <si>
    <t xml:space="preserve">Основное мероприятие "Выявление случаев причинения вреда окружающей среде при размещении бесхозяйственных отходов шин, покрышек". Решение вопросов местного значения городского поселения в рамках соответствующей государственной программы Камчатского края </t>
  </si>
  <si>
    <t>11 1 03 Т006Ф</t>
  </si>
  <si>
    <t>11 1 03 4006Ф</t>
  </si>
  <si>
    <t xml:space="preserve">Основное мероприятие "Создание доступной системы накопления (раздельного накопления) отходов, в том числе твердых коммунальных отходов". Решение вопросов местного значения городского поселения в рамках соответствующей государственной программы Камчатского края </t>
  </si>
  <si>
    <t>Основное мероприятие "Создание доступной системы накопления (раздельного накопления) отходов, в том числе твердых коммунальных отходов". Решение вопросов местного значения городского поселения в рамках соответствующей государственной программы Камчатского края (софинансирование за счет средств местного бюджета)</t>
  </si>
  <si>
    <t>11 2 01 4006Ф</t>
  </si>
  <si>
    <t>11 2 01 Т006Ф</t>
  </si>
  <si>
    <t xml:space="preserve">Основное мероприятие "Содержание муниципального имущества Елизовского городского поселения". Реализация мероприятий соответствующей программы, подпрограммы в рамках соответствующей муниципальной программы Елизовского городского поселения, за исключением обособленных расходов, которым присваиваются уникальные коды        </t>
  </si>
  <si>
    <t>-расходы за счет средств Фонда содействия реформированию ЖКХ</t>
  </si>
  <si>
    <t>14 А F3 67484</t>
  </si>
  <si>
    <t xml:space="preserve">Основное мероприятие "Проведение мероприятий в рамках заключенных концессионных соглашений". Реализация инфраструктурного проекта "Жилищное строительство в г. Елизово (Реконструкция котельной №20 на газовом топливе)"       </t>
  </si>
  <si>
    <t>10 1 05 98001</t>
  </si>
  <si>
    <t>05 0 04 09990</t>
  </si>
  <si>
    <t xml:space="preserve">Основное мероприятие "Реконструкция части многоквартирного дома по адресу: г. Елизово, ул. Рябикова 18. в целях приспособления и общего имущества многоквартирного дома к нуждам инвалида-колясочника, проживающего в жилом помещении №49". Реализация мероприятий соответствующей программы, подпрограммы в рамках соответствующей муниципальной программы Елизовского городского поселения, за исключением обособленных расходов, которым присваиваются уникальные коды        </t>
  </si>
  <si>
    <t xml:space="preserve"> - расходы за счет средств местного бюджета, в т.ч.:</t>
  </si>
  <si>
    <t xml:space="preserve">Основное мероприятие "Проведение мероприятия по укреплению материально-технической базы муниципальных учреждений культуры". Субсидии на обеспечение развития и укрепления материально-технической базы домов культуры в населенных пунктах с числом жителей до 50 тысяч человек       </t>
  </si>
  <si>
    <t>04 2 01 L4670</t>
  </si>
  <si>
    <t>Подпрограмма "Развитие инфраструктуры в сфере культуры на территории Елизовского городского поселения"</t>
  </si>
  <si>
    <t>Непрограммные расходы. Предоставление гарантий гражданам, удостоенным звания "Почетный гражданин города Елизово"</t>
  </si>
  <si>
    <t>99 0 00 20040</t>
  </si>
  <si>
    <t>Социальное обеспечение и иные выплаты населению</t>
  </si>
  <si>
    <t>14</t>
  </si>
  <si>
    <t>Прочие межбюджетные трансферты общего характера</t>
  </si>
  <si>
    <t>1403</t>
  </si>
  <si>
    <t>Межбюджетные трансферты общего характера бюджетам бюджетной системы российской федерации</t>
  </si>
  <si>
    <t>Основное мероприятие "Иные межбюджетные транферты на решение вопросов местного значения в части реализации полномочий по участию в предупреждении и ликвидации последствий чрезвычайных ситуаций". Исполнение отдельных переданных полномочий Елизовского городского поселения</t>
  </si>
  <si>
    <t>07 0 03 80020</t>
  </si>
  <si>
    <t>500</t>
  </si>
  <si>
    <t>Межбюджетные трансферты</t>
  </si>
  <si>
    <t xml:space="preserve">Муниципальная программа "Капитальный ремонт объектов муниципального жилищного фонда в Елизовском городском поселении" </t>
  </si>
  <si>
    <t>18 0 00 00000</t>
  </si>
  <si>
    <t xml:space="preserve">Подпрограмма "Капитальный ремонт объектов муниципального жилищного фонда в Елизовском городском поселении" </t>
  </si>
  <si>
    <t>18 1 00 00000</t>
  </si>
  <si>
    <t xml:space="preserve">Основное мероприятие "Выполнение работ по капитальному ремонту объектов муниципального жилого фонда". Реализация мероприятий соответствующей программы, подпрограммы в рамках соответствующей муниципальной программы Елизовского городского поселения, за исключением обособленных расходов, которым присваиваются уникальные коды       </t>
  </si>
  <si>
    <t>18 1 01 09990</t>
  </si>
  <si>
    <t>Непрограммные расходы. Обеспечение мер социальной поддержки по ремонту квартир отдельным категориям граждан, проживающим на территории Елизовского городского поселения</t>
  </si>
  <si>
    <t>Основное мероприятие "Предоставление иных межбюджетных трансфертов местным бюджетам на реализацию отдельных мероприятий Подпрограммы 2 в части выполнения мероприятий плана социального развития центров экономического роста Камчатского края".  Иные межбюджетные трасферты на реализацию мероприятий планов оциального развития центров экономического роста  субъектов Российской Федерации, входящих в состав Дальневосточного федерального округа</t>
  </si>
  <si>
    <t>99 0 00 10200</t>
  </si>
  <si>
    <t>Непрограммные расходы. Осуществление расходов за счет средств резервного фонда администрации Елизовского городского поселения</t>
  </si>
  <si>
    <t xml:space="preserve">Непрограммные расходы. Расходы по исполнительному производству </t>
  </si>
  <si>
    <t>14 4 00 00000</t>
  </si>
  <si>
    <t>Подпрограмма "Переселение граждан из непригодных для проживания жилых помещений муниципального жилищного фонда в Елизовском городском поселении"</t>
  </si>
  <si>
    <t>14 4 03 09990</t>
  </si>
  <si>
    <t>14 A 01 09990</t>
  </si>
  <si>
    <t>Непрограммные расходы. Расходы по исполнительному производству</t>
  </si>
  <si>
    <t>05 0 07 09990</t>
  </si>
  <si>
    <t xml:space="preserve">Основное мероприятие "Устройство откидного пандуса в жилом доме по адресу: г.Елизово, ул. Свердлова, д.30, к.1, кв2". Реализация мероприятий соответствующей программы, подпрограммы в рамках соответствующей муниципальной программы Елизовского городского поселения, за исключением обособленных расходов, которым присваиваются уникальные коды        </t>
  </si>
  <si>
    <t>- ИМТ на реализацию мероприятий муниципальных программ Елизовского городского поселения</t>
  </si>
  <si>
    <t xml:space="preserve">Расходы по исполнительному производству </t>
  </si>
  <si>
    <t>Осуществление расходов за счет средств резервного фонда администрации Елизовского городского поселения</t>
  </si>
  <si>
    <t>Подпрограмма "Переселение граждан из непригодных для проживания жилых помещений муниципального жилищного фонда в Елизовском городском поселении</t>
  </si>
  <si>
    <t xml:space="preserve">Непрограммные расходы. Выполнение государственных полномочий Камчатского края по созданию административных комиссий в целях привлечения к административной ответственности, предусмотренной законом Камчатского края        </t>
  </si>
  <si>
    <t xml:space="preserve">Непрограммные расходы. Выполнение государственных полномочий Камчатского края по созданию административных комиссий в целях привлечения к административной ответственности, предусмотренной законом Камчатского края  </t>
  </si>
  <si>
    <t>06 1 02 4006Г</t>
  </si>
  <si>
    <r>
      <rPr>
        <sz val="12"/>
        <rFont val="Times New Roman"/>
        <family val="1"/>
      </rPr>
      <t xml:space="preserve">Основное мероприятие "Ремонт автомобильных дорог общего пользования местного значения". Решение вопросов местного значения городского поселения в рамках соответствующей государственной программы Камчатского края     </t>
    </r>
    <r>
      <rPr>
        <i/>
        <sz val="12"/>
        <rFont val="Times New Roman"/>
        <family val="1"/>
      </rPr>
      <t xml:space="preserve">   </t>
    </r>
  </si>
  <si>
    <t>06 1 02 Т006Г</t>
  </si>
  <si>
    <t xml:space="preserve">Основное мероприятие "Ремонт автомобильных дорог общего пользования местного значения". Решение вопросов местного значения городского поселения в рамках соответствующей государственной программы Камчатского края        </t>
  </si>
  <si>
    <t>Основное мероприятие "Ремонт автомобильных дорог общего пользования местного значения Елизовского городского поселения". Решение вопросов местного значения городского поселения в рамках соответствующей государственной программы Камчатского края (софинансирование за счет средств местного бюджета)</t>
  </si>
  <si>
    <t>01 1 F2 5424F</t>
  </si>
  <si>
    <t xml:space="preserve">- ИМТ на приобретение оборудования для скейт-площадки в микрорайоне "26 километр"      </t>
  </si>
  <si>
    <t xml:space="preserve">- ИМТ на реализацию мероприятий муниципальных программ Елизовского городского поселения </t>
  </si>
  <si>
    <t xml:space="preserve">Основное мероприятие "Предоставление молодым семьям - участникам Подпрограммы 3 социальных выплат на приобретение жилого помещения или строительство индивидуального жилого дома". Реализация  мероприятий соответствующей программы, подпрограммы в рамках соответствующей муниципальной программы Елизовского городского поселения, за исключением обособленных расходов, которым присваиваются уникальные коды </t>
  </si>
  <si>
    <t>14 3 01 09990</t>
  </si>
  <si>
    <t xml:space="preserve">Основное мероприятие "Обследование технического состояния жилых помещений и многоквартирных домов на предмет непригодности и аварийности". Реализация  мероприятий соответствующей программы, подпрограммы в рамках соответствующей муниципальной программы Елизовского городского поселения, за исключением обособленных расходов, которым присваиваются уникальные коды </t>
  </si>
  <si>
    <t xml:space="preserve">Региональный проект "Обеспечение устойчивого сокращения непригодного для проживания жилищного фонда" (A.F3.1 Переселение граждан из аварийного жилищного фонда в соответствии с жилищным законодательством). Реализация  мероприятий соответствующей программы, подпрограммы в рамках соответствующей муниципальной программы Елизовского городского поселения, за исключением обособленных расходов, которым присваиваются уникальные коды </t>
  </si>
  <si>
    <t>Основное мероприятие "Предоставление иных межбюджетных трансфертов местным бюджетам на реализацию отдельных мероприятий Подпрограммы 2 в части выполнения мероприятий плана социального развития центров экономического роста Камчатского края". Иные межбюджетные трансферты на реализацию мероприятий планов социального развития центров экономического роста субъектов Российской Федерации, входящих в состав Дальневосточного федерального округа</t>
  </si>
  <si>
    <t xml:space="preserve">Региональный проект "Формирование комфортной городской среды". Создание комфортной городской среды в малых городах и исторических поселения - победителях Всероссийского конкурса лучших проектов создания комфортной городской среды </t>
  </si>
  <si>
    <r>
      <t xml:space="preserve">Приложение 4 </t>
    </r>
    <r>
      <rPr>
        <sz val="11"/>
        <color indexed="8"/>
        <rFont val="Times New Roman"/>
        <family val="1"/>
      </rPr>
      <t xml:space="preserve">
к  муниципальному нормативному правовому акту от 27 сентября  2022 г.  № 39 -НПА 
«О внесении изменений в муниципальный нормативный правовой акт «О бюджете Елизовского городского поселения  на 2022 год  и плановый период 2023-2024 годов» от 23.12.2021 № 10-НПА,  принятому Решением Собрания депутатов 
Елизовского  городского поселения от 23.12.2021 №60»</t>
    </r>
  </si>
  <si>
    <r>
      <t>Приложение 5</t>
    </r>
    <r>
      <rPr>
        <sz val="12"/>
        <color indexed="8"/>
        <rFont val="Times New Roman"/>
        <family val="1"/>
      </rPr>
      <t xml:space="preserve">
к  муниципальному нормативному правовому акту от 27 сентября  2022 года   № 39 -НПА
«О внесении изменений в муниципальный нормативный правовой акт «О бюджете Елизовского городского поселения  на 2022 год  и плановый период 2023-2024 годов» от 23.12.2021 № 10-НПА,  принятому Решением Собрания депутатов 
Елизовского  городского поселения от 23.12.2021 № 60»</t>
    </r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</si>
</sst>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  <numFmt numFmtId="184" formatCode="#,##0.00000"/>
    <numFmt numFmtId="185" formatCode="000000"/>
    <numFmt numFmtId="186" formatCode="#,##0.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</numFmts>
  <fonts count="102">
    <font>
      <sz val="10"/>
      <name val="Arial Cyr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Arial Cyr"/>
      <family val="2"/>
    </font>
    <font>
      <sz val="10"/>
      <color indexed="8"/>
      <name val="Arial Cyr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7"/>
      <name val="Times New Roman"/>
      <family val="1"/>
    </font>
    <font>
      <sz val="10"/>
      <color indexed="17"/>
      <name val="Times New Roman"/>
      <family val="1"/>
    </font>
    <font>
      <sz val="10"/>
      <color indexed="10"/>
      <name val="Times New Roman"/>
      <family val="1"/>
    </font>
    <font>
      <sz val="12"/>
      <color indexed="17"/>
      <name val="Times New Roman"/>
      <family val="1"/>
    </font>
    <font>
      <i/>
      <sz val="10"/>
      <name val="Times New Roman"/>
      <family val="1"/>
    </font>
    <font>
      <i/>
      <sz val="12"/>
      <color indexed="17"/>
      <name val="Times New Roman"/>
      <family val="1"/>
    </font>
    <font>
      <i/>
      <sz val="10"/>
      <color indexed="17"/>
      <name val="Times New Roman"/>
      <family val="1"/>
    </font>
    <font>
      <i/>
      <sz val="12"/>
      <color indexed="10"/>
      <name val="Times New Roman"/>
      <family val="1"/>
    </font>
    <font>
      <sz val="11"/>
      <color indexed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1"/>
      <color indexed="17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i/>
      <sz val="10"/>
      <color indexed="8"/>
      <name val="Times New Roman"/>
      <family val="1"/>
    </font>
    <font>
      <b/>
      <sz val="16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b/>
      <i/>
      <sz val="10"/>
      <color indexed="17"/>
      <name val="Times New Roman"/>
      <family val="1"/>
    </font>
    <font>
      <i/>
      <sz val="10"/>
      <color indexed="10"/>
      <name val="Times New Roman"/>
      <family val="1"/>
    </font>
    <font>
      <b/>
      <sz val="11"/>
      <color indexed="17"/>
      <name val="Times New Roman"/>
      <family val="1"/>
    </font>
    <font>
      <b/>
      <sz val="18"/>
      <color indexed="62"/>
      <name val="Cambria"/>
      <family val="1"/>
    </font>
    <font>
      <b/>
      <sz val="15"/>
      <color indexed="62"/>
      <name val="Calibri"/>
      <family val="2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b/>
      <sz val="11"/>
      <color indexed="62"/>
      <name val="Calibri"/>
      <family val="2"/>
    </font>
    <font>
      <sz val="10"/>
      <name val="Arial"/>
      <family val="2"/>
    </font>
    <font>
      <i/>
      <sz val="11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 CYR"/>
      <family val="2"/>
    </font>
    <font>
      <b/>
      <sz val="12"/>
      <color indexed="8"/>
      <name val="Times New Roman CYR"/>
      <family val="2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b/>
      <sz val="13"/>
      <color indexed="62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sz val="14"/>
      <color indexed="60"/>
      <name val="Calibri"/>
      <family val="2"/>
    </font>
    <font>
      <sz val="14"/>
      <color indexed="20"/>
      <name val="Calibri"/>
      <family val="2"/>
    </font>
    <font>
      <i/>
      <sz val="14"/>
      <color indexed="23"/>
      <name val="Calibri"/>
      <family val="2"/>
    </font>
    <font>
      <sz val="14"/>
      <color indexed="5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1"/>
      <color indexed="9"/>
      <name val="Times New Roman"/>
      <family val="1"/>
    </font>
    <font>
      <b/>
      <i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sz val="16"/>
      <color indexed="9"/>
      <name val="Times New Roman"/>
      <family val="1"/>
    </font>
    <font>
      <b/>
      <i/>
      <sz val="16"/>
      <color indexed="9"/>
      <name val="Times New Roman"/>
      <family val="1"/>
    </font>
    <font>
      <sz val="12"/>
      <color indexed="9"/>
      <name val="Times New Roman"/>
      <family val="1"/>
    </font>
    <font>
      <b/>
      <sz val="12"/>
      <color indexed="9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b/>
      <sz val="14"/>
      <color rgb="FFFA7D00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sz val="14"/>
      <color rgb="FF9C6500"/>
      <name val="Calibri"/>
      <family val="2"/>
    </font>
    <font>
      <sz val="14"/>
      <color rgb="FF9C0006"/>
      <name val="Calibri"/>
      <family val="2"/>
    </font>
    <font>
      <i/>
      <sz val="14"/>
      <color rgb="FF7F7F7F"/>
      <name val="Calibri"/>
      <family val="2"/>
    </font>
    <font>
      <sz val="14"/>
      <color rgb="FFFA7D00"/>
      <name val="Calibri"/>
      <family val="2"/>
    </font>
    <font>
      <sz val="14"/>
      <color rgb="FFFF0000"/>
      <name val="Calibri"/>
      <family val="2"/>
    </font>
    <font>
      <sz val="14"/>
      <color rgb="FF006100"/>
      <name val="Calibri"/>
      <family val="2"/>
    </font>
    <font>
      <sz val="10"/>
      <color rgb="FFFF0000"/>
      <name val="Times New Roman"/>
      <family val="1"/>
    </font>
    <font>
      <i/>
      <sz val="12"/>
      <color rgb="FFFF0000"/>
      <name val="Times New Roman"/>
      <family val="1"/>
    </font>
    <font>
      <sz val="12"/>
      <color rgb="FFFF0000"/>
      <name val="Times New Roman"/>
      <family val="1"/>
    </font>
    <font>
      <i/>
      <sz val="10"/>
      <color rgb="FFFF0000"/>
      <name val="Times New Roman"/>
      <family val="1"/>
    </font>
    <font>
      <sz val="11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i/>
      <sz val="10"/>
      <color rgb="FFFF0000"/>
      <name val="Times New Roman"/>
      <family val="1"/>
    </font>
    <font>
      <b/>
      <sz val="11"/>
      <color theme="0"/>
      <name val="Times New Roman"/>
      <family val="1"/>
    </font>
    <font>
      <b/>
      <i/>
      <sz val="10"/>
      <color theme="0"/>
      <name val="Times New Roman"/>
      <family val="1"/>
    </font>
    <font>
      <sz val="10"/>
      <color theme="0"/>
      <name val="Times New Roman"/>
      <family val="1"/>
    </font>
    <font>
      <b/>
      <sz val="16"/>
      <color theme="0"/>
      <name val="Times New Roman"/>
      <family val="1"/>
    </font>
    <font>
      <b/>
      <i/>
      <sz val="16"/>
      <color theme="0"/>
      <name val="Times New Roman"/>
      <family val="1"/>
    </font>
    <font>
      <b/>
      <sz val="11"/>
      <color rgb="FF000000"/>
      <name val="Times New Roman"/>
      <family val="1"/>
    </font>
    <font>
      <sz val="12"/>
      <color theme="0"/>
      <name val="Times New Roman"/>
      <family val="1"/>
    </font>
    <font>
      <b/>
      <sz val="12"/>
      <color theme="0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2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7" borderId="0" applyNumberFormat="0" applyBorder="0" applyAlignment="0" applyProtection="0"/>
    <xf numFmtId="0" fontId="72" fillId="10" borderId="0" applyNumberFormat="0" applyBorder="0" applyAlignment="0" applyProtection="0"/>
    <xf numFmtId="0" fontId="72" fillId="3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9" borderId="0" applyNumberFormat="0" applyBorder="0" applyAlignment="0" applyProtection="0"/>
    <xf numFmtId="0" fontId="73" fillId="7" borderId="0" applyNumberFormat="0" applyBorder="0" applyAlignment="0" applyProtection="0"/>
    <xf numFmtId="0" fontId="73" fillId="13" borderId="0" applyNumberFormat="0" applyBorder="0" applyAlignment="0" applyProtection="0"/>
    <xf numFmtId="0" fontId="73" fillId="3" borderId="0" applyNumberFormat="0" applyBorder="0" applyAlignment="0" applyProtection="0"/>
    <xf numFmtId="0" fontId="73" fillId="11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4" fillId="19" borderId="1" applyNumberFormat="0" applyAlignment="0" applyProtection="0"/>
    <xf numFmtId="0" fontId="75" fillId="2" borderId="2" applyNumberFormat="0" applyAlignment="0" applyProtection="0"/>
    <xf numFmtId="0" fontId="76" fillId="2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50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78" fillId="20" borderId="7" applyNumberFormat="0" applyAlignment="0" applyProtection="0"/>
    <xf numFmtId="0" fontId="33" fillId="0" borderId="0" applyNumberFormat="0" applyFill="0" applyBorder="0" applyAlignment="0" applyProtection="0"/>
    <xf numFmtId="0" fontId="79" fillId="21" borderId="0" applyNumberFormat="0" applyBorder="0" applyAlignment="0" applyProtection="0"/>
    <xf numFmtId="0" fontId="38" fillId="0" borderId="0">
      <alignment/>
      <protection/>
    </xf>
    <xf numFmtId="0" fontId="36" fillId="0" borderId="0" applyNumberFormat="0" applyFill="0" applyBorder="0" applyAlignment="0" applyProtection="0"/>
    <xf numFmtId="0" fontId="80" fillId="22" borderId="0" applyNumberFormat="0" applyBorder="0" applyAlignment="0" applyProtection="0"/>
    <xf numFmtId="0" fontId="8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82" fillId="0" borderId="9" applyNumberFormat="0" applyFill="0" applyAlignment="0" applyProtection="0"/>
    <xf numFmtId="0" fontId="8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84" fillId="24" borderId="0" applyNumberFormat="0" applyBorder="0" applyAlignment="0" applyProtection="0"/>
  </cellStyleXfs>
  <cellXfs count="22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11" fillId="25" borderId="0" xfId="0" applyFont="1" applyFill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85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86" fillId="0" borderId="0" xfId="0" applyFont="1" applyFill="1" applyAlignment="1">
      <alignment/>
    </xf>
    <xf numFmtId="0" fontId="18" fillId="0" borderId="0" xfId="0" applyFont="1" applyFill="1" applyAlignment="1">
      <alignment vertical="center"/>
    </xf>
    <xf numFmtId="0" fontId="19" fillId="0" borderId="0" xfId="0" applyFont="1" applyFill="1" applyAlignment="1">
      <alignment/>
    </xf>
    <xf numFmtId="0" fontId="18" fillId="25" borderId="0" xfId="0" applyFont="1" applyFill="1" applyAlignment="1">
      <alignment/>
    </xf>
    <xf numFmtId="0" fontId="13" fillId="25" borderId="0" xfId="0" applyFont="1" applyFill="1" applyAlignment="1">
      <alignment/>
    </xf>
    <xf numFmtId="0" fontId="10" fillId="25" borderId="0" xfId="0" applyFont="1" applyFill="1" applyAlignment="1">
      <alignment/>
    </xf>
    <xf numFmtId="0" fontId="20" fillId="25" borderId="0" xfId="0" applyFont="1" applyFill="1" applyAlignment="1">
      <alignment/>
    </xf>
    <xf numFmtId="0" fontId="85" fillId="25" borderId="0" xfId="0" applyFont="1" applyFill="1" applyAlignment="1">
      <alignment/>
    </xf>
    <xf numFmtId="0" fontId="21" fillId="25" borderId="0" xfId="0" applyFont="1" applyFill="1" applyAlignment="1">
      <alignment/>
    </xf>
    <xf numFmtId="0" fontId="22" fillId="25" borderId="0" xfId="0" applyFont="1" applyFill="1" applyAlignment="1">
      <alignment/>
    </xf>
    <xf numFmtId="0" fontId="14" fillId="25" borderId="0" xfId="0" applyFont="1" applyFill="1" applyAlignment="1">
      <alignment/>
    </xf>
    <xf numFmtId="0" fontId="23" fillId="25" borderId="0" xfId="0" applyFont="1" applyFill="1" applyAlignment="1">
      <alignment/>
    </xf>
    <xf numFmtId="0" fontId="24" fillId="25" borderId="0" xfId="0" applyFont="1" applyFill="1" applyAlignment="1">
      <alignment horizontal="center" vertical="center"/>
    </xf>
    <xf numFmtId="184" fontId="26" fillId="25" borderId="0" xfId="0" applyNumberFormat="1" applyFont="1" applyFill="1" applyAlignment="1">
      <alignment horizontal="center"/>
    </xf>
    <xf numFmtId="0" fontId="2" fillId="25" borderId="0" xfId="0" applyFont="1" applyFill="1" applyAlignment="1">
      <alignment/>
    </xf>
    <xf numFmtId="184" fontId="28" fillId="25" borderId="0" xfId="0" applyNumberFormat="1" applyFont="1" applyFill="1" applyAlignment="1">
      <alignment horizontal="center"/>
    </xf>
    <xf numFmtId="0" fontId="29" fillId="25" borderId="0" xfId="0" applyFont="1" applyFill="1" applyAlignment="1">
      <alignment horizontal="center" vertical="center"/>
    </xf>
    <xf numFmtId="0" fontId="21" fillId="25" borderId="0" xfId="0" applyFont="1" applyFill="1" applyAlignment="1">
      <alignment horizontal="center"/>
    </xf>
    <xf numFmtId="0" fontId="21" fillId="25" borderId="0" xfId="0" applyFont="1" applyFill="1" applyAlignment="1">
      <alignment horizontal="center" wrapText="1"/>
    </xf>
    <xf numFmtId="0" fontId="29" fillId="26" borderId="10" xfId="0" applyFont="1" applyFill="1" applyBorder="1" applyAlignment="1">
      <alignment horizontal="center" vertical="center" wrapText="1"/>
    </xf>
    <xf numFmtId="0" fontId="29" fillId="26" borderId="10" xfId="0" applyFont="1" applyFill="1" applyBorder="1" applyAlignment="1">
      <alignment wrapText="1"/>
    </xf>
    <xf numFmtId="49" fontId="29" fillId="26" borderId="10" xfId="0" applyNumberFormat="1" applyFont="1" applyFill="1" applyBorder="1" applyAlignment="1">
      <alignment horizontal="center" wrapText="1"/>
    </xf>
    <xf numFmtId="184" fontId="29" fillId="26" borderId="10" xfId="0" applyNumberFormat="1" applyFont="1" applyFill="1" applyBorder="1" applyAlignment="1" applyProtection="1">
      <alignment horizontal="center"/>
      <protection locked="0"/>
    </xf>
    <xf numFmtId="184" fontId="30" fillId="0" borderId="0" xfId="0" applyNumberFormat="1" applyFont="1" applyFill="1" applyAlignment="1">
      <alignment horizontal="center"/>
    </xf>
    <xf numFmtId="0" fontId="21" fillId="0" borderId="10" xfId="0" applyFont="1" applyFill="1" applyBorder="1" applyAlignment="1">
      <alignment horizontal="center" vertical="center"/>
    </xf>
    <xf numFmtId="49" fontId="21" fillId="0" borderId="10" xfId="0" applyNumberFormat="1" applyFont="1" applyFill="1" applyBorder="1" applyAlignment="1">
      <alignment horizontal="left" vertical="center" wrapText="1"/>
    </xf>
    <xf numFmtId="49" fontId="21" fillId="0" borderId="10" xfId="0" applyNumberFormat="1" applyFont="1" applyFill="1" applyBorder="1" applyAlignment="1">
      <alignment horizontal="center"/>
    </xf>
    <xf numFmtId="49" fontId="21" fillId="0" borderId="10" xfId="0" applyNumberFormat="1" applyFont="1" applyFill="1" applyBorder="1" applyAlignment="1">
      <alignment horizontal="center" wrapText="1"/>
    </xf>
    <xf numFmtId="184" fontId="18" fillId="0" borderId="0" xfId="0" applyNumberFormat="1" applyFont="1" applyFill="1" applyAlignment="1">
      <alignment horizontal="center"/>
    </xf>
    <xf numFmtId="0" fontId="21" fillId="0" borderId="10" xfId="0" applyFont="1" applyFill="1" applyBorder="1" applyAlignment="1">
      <alignment wrapText="1"/>
    </xf>
    <xf numFmtId="184" fontId="17" fillId="0" borderId="0" xfId="0" applyNumberFormat="1" applyFont="1" applyFill="1" applyBorder="1" applyAlignment="1">
      <alignment horizontal="center"/>
    </xf>
    <xf numFmtId="184" fontId="28" fillId="0" borderId="0" xfId="0" applyNumberFormat="1" applyFont="1" applyFill="1" applyAlignment="1">
      <alignment horizontal="center"/>
    </xf>
    <xf numFmtId="0" fontId="21" fillId="0" borderId="10" xfId="0" applyFont="1" applyFill="1" applyBorder="1" applyAlignment="1">
      <alignment horizontal="center" vertical="center" wrapText="1"/>
    </xf>
    <xf numFmtId="184" fontId="16" fillId="0" borderId="0" xfId="0" applyNumberFormat="1" applyFont="1" applyFill="1" applyAlignment="1">
      <alignment horizontal="center"/>
    </xf>
    <xf numFmtId="184" fontId="22" fillId="0" borderId="0" xfId="0" applyNumberFormat="1" applyFont="1" applyFill="1" applyBorder="1" applyAlignment="1">
      <alignment horizontal="center"/>
    </xf>
    <xf numFmtId="0" fontId="21" fillId="0" borderId="10" xfId="0" applyFont="1" applyFill="1" applyBorder="1" applyAlignment="1">
      <alignment horizontal="left" wrapText="1"/>
    </xf>
    <xf numFmtId="184" fontId="17" fillId="0" borderId="0" xfId="0" applyNumberFormat="1" applyFont="1" applyFill="1" applyAlignment="1">
      <alignment horizontal="center" wrapText="1"/>
    </xf>
    <xf numFmtId="184" fontId="22" fillId="0" borderId="0" xfId="0" applyNumberFormat="1" applyFont="1" applyFill="1" applyAlignment="1">
      <alignment horizontal="center" wrapText="1"/>
    </xf>
    <xf numFmtId="0" fontId="25" fillId="0" borderId="10" xfId="0" applyFont="1" applyFill="1" applyBorder="1" applyAlignment="1">
      <alignment horizontal="center" vertical="center"/>
    </xf>
    <xf numFmtId="0" fontId="87" fillId="0" borderId="10" xfId="0" applyFont="1" applyFill="1" applyBorder="1" applyAlignment="1">
      <alignment horizontal="center" vertical="center" wrapText="1"/>
    </xf>
    <xf numFmtId="184" fontId="88" fillId="0" borderId="0" xfId="0" applyNumberFormat="1" applyFont="1" applyFill="1" applyAlignment="1">
      <alignment horizontal="center"/>
    </xf>
    <xf numFmtId="0" fontId="21" fillId="0" borderId="10" xfId="0" applyNumberFormat="1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/>
    </xf>
    <xf numFmtId="49" fontId="21" fillId="0" borderId="11" xfId="0" applyNumberFormat="1" applyFont="1" applyFill="1" applyBorder="1" applyAlignment="1">
      <alignment horizontal="center"/>
    </xf>
    <xf numFmtId="184" fontId="16" fillId="0" borderId="0" xfId="0" applyNumberFormat="1" applyFont="1" applyFill="1" applyBorder="1" applyAlignment="1">
      <alignment horizontal="center"/>
    </xf>
    <xf numFmtId="49" fontId="21" fillId="0" borderId="0" xfId="0" applyNumberFormat="1" applyFont="1" applyFill="1" applyBorder="1" applyAlignment="1">
      <alignment horizontal="center" wrapText="1"/>
    </xf>
    <xf numFmtId="184" fontId="18" fillId="0" borderId="0" xfId="0" applyNumberFormat="1" applyFont="1" applyFill="1" applyBorder="1" applyAlignment="1">
      <alignment horizontal="center"/>
    </xf>
    <xf numFmtId="184" fontId="14" fillId="0" borderId="0" xfId="0" applyNumberFormat="1" applyFont="1" applyFill="1" applyAlignment="1">
      <alignment horizontal="center"/>
    </xf>
    <xf numFmtId="184" fontId="85" fillId="0" borderId="0" xfId="0" applyNumberFormat="1" applyFont="1" applyFill="1" applyAlignment="1">
      <alignment horizontal="center"/>
    </xf>
    <xf numFmtId="185" fontId="21" fillId="0" borderId="10" xfId="0" applyNumberFormat="1" applyFont="1" applyFill="1" applyBorder="1" applyAlignment="1">
      <alignment horizontal="left" vertical="center" wrapText="1"/>
    </xf>
    <xf numFmtId="0" fontId="18" fillId="0" borderId="0" xfId="0" applyFont="1" applyFill="1" applyAlignment="1">
      <alignment horizontal="center"/>
    </xf>
    <xf numFmtId="0" fontId="10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2" fontId="21" fillId="0" borderId="10" xfId="0" applyNumberFormat="1" applyFont="1" applyFill="1" applyBorder="1" applyAlignment="1">
      <alignment horizontal="left" vertical="center" wrapText="1"/>
    </xf>
    <xf numFmtId="49" fontId="29" fillId="26" borderId="10" xfId="0" applyNumberFormat="1" applyFont="1" applyFill="1" applyBorder="1" applyAlignment="1">
      <alignment horizontal="center"/>
    </xf>
    <xf numFmtId="0" fontId="22" fillId="0" borderId="10" xfId="0" applyFont="1" applyFill="1" applyBorder="1" applyAlignment="1">
      <alignment/>
    </xf>
    <xf numFmtId="0" fontId="21" fillId="0" borderId="10" xfId="0" applyFont="1" applyFill="1" applyBorder="1" applyAlignment="1">
      <alignment horizontal="center" wrapText="1"/>
    </xf>
    <xf numFmtId="0" fontId="86" fillId="0" borderId="10" xfId="0" applyFont="1" applyFill="1" applyBorder="1" applyAlignment="1">
      <alignment horizontal="center" vertical="center" wrapText="1"/>
    </xf>
    <xf numFmtId="0" fontId="21" fillId="25" borderId="10" xfId="0" applyFont="1" applyFill="1" applyBorder="1" applyAlignment="1">
      <alignment horizontal="center" vertical="center" wrapText="1"/>
    </xf>
    <xf numFmtId="49" fontId="21" fillId="25" borderId="10" xfId="0" applyNumberFormat="1" applyFont="1" applyFill="1" applyBorder="1" applyAlignment="1">
      <alignment horizontal="left" vertical="center" wrapText="1"/>
    </xf>
    <xf numFmtId="49" fontId="21" fillId="25" borderId="10" xfId="0" applyNumberFormat="1" applyFont="1" applyFill="1" applyBorder="1" applyAlignment="1">
      <alignment horizontal="center"/>
    </xf>
    <xf numFmtId="49" fontId="21" fillId="25" borderId="10" xfId="0" applyNumberFormat="1" applyFont="1" applyFill="1" applyBorder="1" applyAlignment="1">
      <alignment horizontal="center" wrapText="1"/>
    </xf>
    <xf numFmtId="184" fontId="18" fillId="25" borderId="0" xfId="0" applyNumberFormat="1" applyFont="1" applyFill="1" applyAlignment="1">
      <alignment horizontal="center"/>
    </xf>
    <xf numFmtId="0" fontId="22" fillId="25" borderId="10" xfId="0" applyFont="1" applyFill="1" applyBorder="1" applyAlignment="1">
      <alignment horizontal="center" vertical="center" wrapText="1"/>
    </xf>
    <xf numFmtId="2" fontId="21" fillId="25" borderId="10" xfId="0" applyNumberFormat="1" applyFont="1" applyFill="1" applyBorder="1" applyAlignment="1">
      <alignment horizontal="left" vertical="center" wrapText="1"/>
    </xf>
    <xf numFmtId="0" fontId="21" fillId="25" borderId="10" xfId="0" applyNumberFormat="1" applyFont="1" applyFill="1" applyBorder="1" applyAlignment="1">
      <alignment horizontal="left" vertical="center" wrapText="1"/>
    </xf>
    <xf numFmtId="184" fontId="16" fillId="25" borderId="0" xfId="0" applyNumberFormat="1" applyFont="1" applyFill="1" applyAlignment="1">
      <alignment horizontal="center"/>
    </xf>
    <xf numFmtId="0" fontId="21" fillId="25" borderId="10" xfId="0" applyFont="1" applyFill="1" applyBorder="1" applyAlignment="1">
      <alignment wrapText="1"/>
    </xf>
    <xf numFmtId="184" fontId="13" fillId="25" borderId="0" xfId="0" applyNumberFormat="1" applyFont="1" applyFill="1" applyAlignment="1">
      <alignment horizontal="center"/>
    </xf>
    <xf numFmtId="0" fontId="25" fillId="25" borderId="10" xfId="0" applyFont="1" applyFill="1" applyBorder="1" applyAlignment="1">
      <alignment horizontal="center" vertical="center" wrapText="1"/>
    </xf>
    <xf numFmtId="0" fontId="87" fillId="25" borderId="10" xfId="0" applyFont="1" applyFill="1" applyBorder="1" applyAlignment="1">
      <alignment horizontal="center" vertical="center" wrapText="1"/>
    </xf>
    <xf numFmtId="0" fontId="21" fillId="25" borderId="10" xfId="0" applyFont="1" applyFill="1" applyBorder="1" applyAlignment="1">
      <alignment/>
    </xf>
    <xf numFmtId="184" fontId="21" fillId="0" borderId="10" xfId="0" applyNumberFormat="1" applyFont="1" applyFill="1" applyBorder="1" applyAlignment="1">
      <alignment horizontal="center"/>
    </xf>
    <xf numFmtId="184" fontId="21" fillId="25" borderId="0" xfId="0" applyNumberFormat="1" applyFont="1" applyFill="1" applyAlignment="1">
      <alignment horizontal="center"/>
    </xf>
    <xf numFmtId="184" fontId="21" fillId="25" borderId="0" xfId="0" applyNumberFormat="1" applyFont="1" applyFill="1" applyBorder="1" applyAlignment="1">
      <alignment horizontal="center"/>
    </xf>
    <xf numFmtId="0" fontId="21" fillId="0" borderId="10" xfId="0" applyFont="1" applyFill="1" applyBorder="1" applyAlignment="1">
      <alignment/>
    </xf>
    <xf numFmtId="184" fontId="31" fillId="25" borderId="0" xfId="0" applyNumberFormat="1" applyFont="1" applyFill="1" applyAlignment="1">
      <alignment horizontal="center"/>
    </xf>
    <xf numFmtId="0" fontId="89" fillId="25" borderId="10" xfId="0" applyFont="1" applyFill="1" applyBorder="1" applyAlignment="1">
      <alignment horizontal="center" vertical="center" wrapText="1"/>
    </xf>
    <xf numFmtId="184" fontId="32" fillId="25" borderId="0" xfId="0" applyNumberFormat="1" applyFont="1" applyFill="1" applyAlignment="1">
      <alignment horizontal="center"/>
    </xf>
    <xf numFmtId="184" fontId="12" fillId="25" borderId="0" xfId="0" applyNumberFormat="1" applyFont="1" applyFill="1" applyAlignment="1">
      <alignment horizontal="center"/>
    </xf>
    <xf numFmtId="0" fontId="86" fillId="25" borderId="10" xfId="0" applyFont="1" applyFill="1" applyBorder="1" applyAlignment="1">
      <alignment horizontal="center" vertical="center" wrapText="1"/>
    </xf>
    <xf numFmtId="184" fontId="30" fillId="25" borderId="0" xfId="0" applyNumberFormat="1" applyFont="1" applyFill="1" applyAlignment="1">
      <alignment horizontal="center"/>
    </xf>
    <xf numFmtId="184" fontId="18" fillId="25" borderId="0" xfId="0" applyNumberFormat="1" applyFont="1" applyFill="1" applyBorder="1" applyAlignment="1">
      <alignment horizontal="center"/>
    </xf>
    <xf numFmtId="184" fontId="16" fillId="25" borderId="0" xfId="0" applyNumberFormat="1" applyFont="1" applyFill="1" applyBorder="1" applyAlignment="1">
      <alignment horizontal="center"/>
    </xf>
    <xf numFmtId="184" fontId="87" fillId="25" borderId="0" xfId="0" applyNumberFormat="1" applyFont="1" applyFill="1" applyBorder="1" applyAlignment="1">
      <alignment horizontal="center"/>
    </xf>
    <xf numFmtId="184" fontId="87" fillId="25" borderId="0" xfId="0" applyNumberFormat="1" applyFont="1" applyFill="1" applyBorder="1" applyAlignment="1" applyProtection="1">
      <alignment horizontal="center"/>
      <protection locked="0"/>
    </xf>
    <xf numFmtId="49" fontId="21" fillId="25" borderId="0" xfId="0" applyNumberFormat="1" applyFont="1" applyFill="1" applyBorder="1" applyAlignment="1">
      <alignment horizontal="center" wrapText="1"/>
    </xf>
    <xf numFmtId="185" fontId="21" fillId="25" borderId="10" xfId="0" applyNumberFormat="1" applyFont="1" applyFill="1" applyBorder="1" applyAlignment="1">
      <alignment horizontal="left" vertical="center" wrapText="1"/>
    </xf>
    <xf numFmtId="0" fontId="25" fillId="25" borderId="10" xfId="0" applyFont="1" applyFill="1" applyBorder="1" applyAlignment="1">
      <alignment horizontal="center" vertical="center"/>
    </xf>
    <xf numFmtId="184" fontId="88" fillId="25" borderId="0" xfId="0" applyNumberFormat="1" applyFont="1" applyFill="1" applyAlignment="1">
      <alignment horizontal="center"/>
    </xf>
    <xf numFmtId="184" fontId="29" fillId="26" borderId="10" xfId="61" applyNumberFormat="1" applyFont="1" applyFill="1" applyBorder="1" applyAlignment="1" applyProtection="1">
      <alignment horizontal="center"/>
      <protection locked="0"/>
    </xf>
    <xf numFmtId="0" fontId="29" fillId="27" borderId="10" xfId="0" applyFont="1" applyFill="1" applyBorder="1" applyAlignment="1" quotePrefix="1">
      <alignment horizontal="left" vertical="center" wrapText="1"/>
    </xf>
    <xf numFmtId="49" fontId="29" fillId="25" borderId="10" xfId="0" applyNumberFormat="1" applyFont="1" applyFill="1" applyBorder="1" applyAlignment="1">
      <alignment horizontal="center" vertical="center" wrapText="1"/>
    </xf>
    <xf numFmtId="184" fontId="18" fillId="0" borderId="0" xfId="0" applyNumberFormat="1" applyFont="1" applyFill="1" applyBorder="1" applyAlignment="1">
      <alignment horizontal="center" vertical="center"/>
    </xf>
    <xf numFmtId="184" fontId="86" fillId="0" borderId="0" xfId="0" applyNumberFormat="1" applyFont="1" applyFill="1" applyBorder="1" applyAlignment="1">
      <alignment horizontal="center"/>
    </xf>
    <xf numFmtId="184" fontId="88" fillId="0" borderId="0" xfId="0" applyNumberFormat="1" applyFont="1" applyFill="1" applyBorder="1" applyAlignment="1">
      <alignment horizontal="center"/>
    </xf>
    <xf numFmtId="184" fontId="28" fillId="0" borderId="0" xfId="0" applyNumberFormat="1" applyFont="1" applyFill="1" applyBorder="1" applyAlignment="1">
      <alignment horizontal="center"/>
    </xf>
    <xf numFmtId="184" fontId="19" fillId="0" borderId="0" xfId="0" applyNumberFormat="1" applyFont="1" applyFill="1" applyBorder="1" applyAlignment="1">
      <alignment horizontal="center"/>
    </xf>
    <xf numFmtId="184" fontId="31" fillId="0" borderId="0" xfId="0" applyNumberFormat="1" applyFont="1" applyFill="1" applyBorder="1" applyAlignment="1">
      <alignment horizontal="center"/>
    </xf>
    <xf numFmtId="184" fontId="9" fillId="0" borderId="0" xfId="0" applyNumberFormat="1" applyFont="1" applyFill="1" applyAlignment="1">
      <alignment horizontal="center"/>
    </xf>
    <xf numFmtId="0" fontId="29" fillId="0" borderId="10" xfId="0" applyFont="1" applyFill="1" applyBorder="1" applyAlignment="1">
      <alignment horizontal="center" vertical="center" wrapText="1"/>
    </xf>
    <xf numFmtId="184" fontId="90" fillId="0" borderId="0" xfId="0" applyNumberFormat="1" applyFont="1" applyFill="1" applyAlignment="1">
      <alignment horizontal="center"/>
    </xf>
    <xf numFmtId="184" fontId="87" fillId="25" borderId="0" xfId="0" applyNumberFormat="1" applyFont="1" applyFill="1" applyBorder="1" applyAlignment="1">
      <alignment horizontal="left"/>
    </xf>
    <xf numFmtId="49" fontId="87" fillId="25" borderId="0" xfId="0" applyNumberFormat="1" applyFont="1" applyFill="1" applyBorder="1" applyAlignment="1">
      <alignment horizontal="center" wrapText="1"/>
    </xf>
    <xf numFmtId="184" fontId="88" fillId="25" borderId="0" xfId="0" applyNumberFormat="1" applyFont="1" applyFill="1" applyAlignment="1">
      <alignment horizontal="left"/>
    </xf>
    <xf numFmtId="184" fontId="88" fillId="25" borderId="0" xfId="0" applyNumberFormat="1" applyFont="1" applyFill="1" applyBorder="1" applyAlignment="1">
      <alignment horizontal="left"/>
    </xf>
    <xf numFmtId="184" fontId="87" fillId="0" borderId="0" xfId="0" applyNumberFormat="1" applyFont="1" applyFill="1" applyAlignment="1">
      <alignment horizontal="center" wrapText="1"/>
    </xf>
    <xf numFmtId="184" fontId="91" fillId="0" borderId="0" xfId="0" applyNumberFormat="1" applyFont="1" applyFill="1" applyAlignment="1">
      <alignment horizontal="center"/>
    </xf>
    <xf numFmtId="49" fontId="22" fillId="25" borderId="10" xfId="0" applyNumberFormat="1" applyFont="1" applyFill="1" applyBorder="1" applyAlignment="1">
      <alignment horizontal="left" vertical="center" wrapText="1"/>
    </xf>
    <xf numFmtId="184" fontId="21" fillId="25" borderId="12" xfId="0" applyNumberFormat="1" applyFont="1" applyFill="1" applyBorder="1" applyAlignment="1">
      <alignment horizontal="right" wrapText="1"/>
    </xf>
    <xf numFmtId="184" fontId="21" fillId="0" borderId="10" xfId="0" applyNumberFormat="1" applyFont="1" applyFill="1" applyBorder="1" applyAlignment="1" applyProtection="1">
      <alignment horizontal="center"/>
      <protection locked="0"/>
    </xf>
    <xf numFmtId="184" fontId="22" fillId="0" borderId="10" xfId="0" applyNumberFormat="1" applyFont="1" applyFill="1" applyBorder="1" applyAlignment="1" applyProtection="1">
      <alignment horizontal="center"/>
      <protection locked="0"/>
    </xf>
    <xf numFmtId="0" fontId="92" fillId="0" borderId="0" xfId="0" applyFont="1" applyFill="1" applyBorder="1" applyAlignment="1">
      <alignment horizontal="center" vertical="center"/>
    </xf>
    <xf numFmtId="184" fontId="93" fillId="0" borderId="0" xfId="0" applyNumberFormat="1" applyFont="1" applyFill="1" applyBorder="1" applyAlignment="1">
      <alignment horizontal="center"/>
    </xf>
    <xf numFmtId="0" fontId="94" fillId="0" borderId="0" xfId="0" applyFont="1" applyFill="1" applyBorder="1" applyAlignment="1">
      <alignment/>
    </xf>
    <xf numFmtId="0" fontId="95" fillId="0" borderId="0" xfId="0" applyFont="1" applyFill="1" applyBorder="1" applyAlignment="1">
      <alignment/>
    </xf>
    <xf numFmtId="0" fontId="95" fillId="0" borderId="0" xfId="0" applyFont="1" applyFill="1" applyBorder="1" applyAlignment="1">
      <alignment horizontal="center" vertical="center"/>
    </xf>
    <xf numFmtId="186" fontId="96" fillId="0" borderId="0" xfId="0" applyNumberFormat="1" applyFont="1" applyFill="1" applyBorder="1" applyAlignment="1">
      <alignment horizontal="center"/>
    </xf>
    <xf numFmtId="184" fontId="96" fillId="0" borderId="0" xfId="0" applyNumberFormat="1" applyFont="1" applyFill="1" applyBorder="1" applyAlignment="1">
      <alignment horizontal="center"/>
    </xf>
    <xf numFmtId="49" fontId="22" fillId="0" borderId="10" xfId="0" applyNumberFormat="1" applyFont="1" applyFill="1" applyBorder="1" applyAlignment="1">
      <alignment horizontal="left" vertical="center" wrapText="1"/>
    </xf>
    <xf numFmtId="0" fontId="97" fillId="0" borderId="0" xfId="0" applyFont="1" applyAlignment="1">
      <alignment horizontal="left"/>
    </xf>
    <xf numFmtId="49" fontId="40" fillId="0" borderId="10" xfId="53" applyNumberFormat="1" applyFont="1" applyFill="1" applyBorder="1" applyAlignment="1">
      <alignment horizontal="center"/>
      <protection/>
    </xf>
    <xf numFmtId="49" fontId="39" fillId="0" borderId="0" xfId="0" applyNumberFormat="1" applyFont="1" applyFill="1" applyBorder="1" applyAlignment="1">
      <alignment horizontal="left" vertical="center" wrapText="1"/>
    </xf>
    <xf numFmtId="184" fontId="21" fillId="25" borderId="10" xfId="0" applyNumberFormat="1" applyFont="1" applyFill="1" applyBorder="1" applyAlignment="1" applyProtection="1">
      <alignment horizontal="center"/>
      <protection locked="0"/>
    </xf>
    <xf numFmtId="184" fontId="22" fillId="25" borderId="0" xfId="0" applyNumberFormat="1" applyFont="1" applyFill="1" applyAlignment="1">
      <alignment horizontal="center" wrapText="1"/>
    </xf>
    <xf numFmtId="0" fontId="16" fillId="25" borderId="0" xfId="0" applyFont="1" applyFill="1" applyAlignment="1">
      <alignment/>
    </xf>
    <xf numFmtId="0" fontId="29" fillId="26" borderId="10" xfId="0" applyFont="1" applyFill="1" applyBorder="1" applyAlignment="1">
      <alignment horizontal="left" wrapText="1"/>
    </xf>
    <xf numFmtId="49" fontId="21" fillId="25" borderId="0" xfId="0" applyNumberFormat="1" applyFont="1" applyFill="1" applyAlignment="1">
      <alignment horizontal="center"/>
    </xf>
    <xf numFmtId="49" fontId="21" fillId="25" borderId="0" xfId="0" applyNumberFormat="1" applyFont="1" applyFill="1" applyAlignment="1">
      <alignment horizontal="center" wrapText="1"/>
    </xf>
    <xf numFmtId="0" fontId="21" fillId="0" borderId="0" xfId="0" applyFont="1" applyFill="1" applyAlignment="1">
      <alignment/>
    </xf>
    <xf numFmtId="0" fontId="21" fillId="0" borderId="11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49" fontId="22" fillId="0" borderId="10" xfId="0" applyNumberFormat="1" applyFont="1" applyFill="1" applyBorder="1" applyAlignment="1">
      <alignment horizontal="center"/>
    </xf>
    <xf numFmtId="49" fontId="22" fillId="0" borderId="10" xfId="0" applyNumberFormat="1" applyFont="1" applyFill="1" applyBorder="1" applyAlignment="1">
      <alignment horizontal="center" wrapText="1"/>
    </xf>
    <xf numFmtId="0" fontId="21" fillId="25" borderId="10" xfId="0" applyFont="1" applyFill="1" applyBorder="1" applyAlignment="1">
      <alignment horizontal="center"/>
    </xf>
    <xf numFmtId="49" fontId="98" fillId="0" borderId="0" xfId="0" applyNumberFormat="1" applyFont="1" applyFill="1" applyBorder="1" applyAlignment="1">
      <alignment horizontal="center"/>
    </xf>
    <xf numFmtId="49" fontId="99" fillId="0" borderId="0" xfId="0" applyNumberFormat="1" applyFont="1" applyFill="1" applyBorder="1" applyAlignment="1">
      <alignment horizontal="center"/>
    </xf>
    <xf numFmtId="49" fontId="98" fillId="0" borderId="0" xfId="0" applyNumberFormat="1" applyFont="1" applyFill="1" applyBorder="1" applyAlignment="1">
      <alignment horizontal="center" wrapText="1"/>
    </xf>
    <xf numFmtId="184" fontId="99" fillId="0" borderId="0" xfId="0" applyNumberFormat="1" applyFont="1" applyFill="1" applyBorder="1" applyAlignment="1">
      <alignment horizontal="center"/>
    </xf>
    <xf numFmtId="49" fontId="99" fillId="0" borderId="0" xfId="0" applyNumberFormat="1" applyFont="1" applyFill="1" applyBorder="1" applyAlignment="1">
      <alignment horizontal="center" wrapText="1"/>
    </xf>
    <xf numFmtId="0" fontId="22" fillId="0" borderId="10" xfId="0" applyNumberFormat="1" applyFont="1" applyFill="1" applyBorder="1" applyAlignment="1">
      <alignment horizontal="left" vertical="center" wrapText="1"/>
    </xf>
    <xf numFmtId="49" fontId="22" fillId="0" borderId="10" xfId="0" applyNumberFormat="1" applyFont="1" applyFill="1" applyBorder="1" applyAlignment="1">
      <alignment horizontal="justify" vertical="center" wrapText="1"/>
    </xf>
    <xf numFmtId="0" fontId="98" fillId="0" borderId="0" xfId="0" applyFont="1" applyFill="1" applyBorder="1" applyAlignment="1">
      <alignment/>
    </xf>
    <xf numFmtId="0" fontId="99" fillId="0" borderId="0" xfId="0" applyFont="1" applyFill="1" applyBorder="1" applyAlignment="1">
      <alignment/>
    </xf>
    <xf numFmtId="184" fontId="22" fillId="25" borderId="10" xfId="0" applyNumberFormat="1" applyFont="1" applyFill="1" applyBorder="1" applyAlignment="1" applyProtection="1">
      <alignment horizontal="center"/>
      <protection locked="0"/>
    </xf>
    <xf numFmtId="0" fontId="29" fillId="26" borderId="10" xfId="0" applyFont="1" applyFill="1" applyBorder="1" applyAlignment="1">
      <alignment horizontal="left" wrapText="1"/>
    </xf>
    <xf numFmtId="184" fontId="29" fillId="25" borderId="10" xfId="0" applyNumberFormat="1" applyFont="1" applyFill="1" applyBorder="1" applyAlignment="1">
      <alignment horizontal="center" vertical="center" wrapText="1"/>
    </xf>
    <xf numFmtId="0" fontId="42" fillId="0" borderId="0" xfId="0" applyFont="1" applyAlignment="1">
      <alignment/>
    </xf>
    <xf numFmtId="0" fontId="42" fillId="0" borderId="0" xfId="0" applyFont="1" applyFill="1" applyAlignment="1">
      <alignment/>
    </xf>
    <xf numFmtId="0" fontId="42" fillId="0" borderId="0" xfId="0" applyFont="1" applyAlignment="1">
      <alignment horizontal="center" vertical="center"/>
    </xf>
    <xf numFmtId="184" fontId="42" fillId="0" borderId="0" xfId="0" applyNumberFormat="1" applyFont="1" applyAlignment="1">
      <alignment/>
    </xf>
    <xf numFmtId="0" fontId="42" fillId="0" borderId="0" xfId="0" applyFont="1" applyFill="1" applyAlignment="1">
      <alignment horizontal="center" vertical="center"/>
    </xf>
    <xf numFmtId="0" fontId="43" fillId="0" borderId="0" xfId="0" applyFont="1" applyFill="1" applyAlignment="1">
      <alignment/>
    </xf>
    <xf numFmtId="49" fontId="43" fillId="0" borderId="0" xfId="0" applyNumberFormat="1" applyFont="1" applyFill="1" applyAlignment="1">
      <alignment/>
    </xf>
    <xf numFmtId="49" fontId="43" fillId="0" borderId="0" xfId="0" applyNumberFormat="1" applyFont="1" applyFill="1" applyAlignment="1">
      <alignment horizontal="center" vertical="center"/>
    </xf>
    <xf numFmtId="184" fontId="40" fillId="0" borderId="0" xfId="0" applyNumberFormat="1" applyFont="1" applyBorder="1" applyAlignment="1">
      <alignment horizontal="right"/>
    </xf>
    <xf numFmtId="0" fontId="44" fillId="0" borderId="10" xfId="0" applyFont="1" applyFill="1" applyBorder="1" applyAlignment="1">
      <alignment horizontal="center" vertical="center"/>
    </xf>
    <xf numFmtId="49" fontId="44" fillId="0" borderId="10" xfId="0" applyNumberFormat="1" applyFont="1" applyFill="1" applyBorder="1" applyAlignment="1">
      <alignment horizontal="center" vertical="center" wrapText="1"/>
    </xf>
    <xf numFmtId="49" fontId="44" fillId="0" borderId="10" xfId="0" applyNumberFormat="1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 wrapText="1"/>
    </xf>
    <xf numFmtId="1" fontId="40" fillId="0" borderId="10" xfId="0" applyNumberFormat="1" applyFont="1" applyFill="1" applyBorder="1" applyAlignment="1">
      <alignment horizontal="center" vertical="center"/>
    </xf>
    <xf numFmtId="1" fontId="40" fillId="0" borderId="10" xfId="0" applyNumberFormat="1" applyFont="1" applyFill="1" applyBorder="1" applyAlignment="1">
      <alignment horizontal="center" vertical="center" wrapText="1"/>
    </xf>
    <xf numFmtId="3" fontId="21" fillId="25" borderId="13" xfId="0" applyNumberFormat="1" applyFont="1" applyFill="1" applyBorder="1" applyAlignment="1">
      <alignment horizontal="center" vertical="center" wrapText="1"/>
    </xf>
    <xf numFmtId="0" fontId="29" fillId="27" borderId="10" xfId="53" applyNumberFormat="1" applyFont="1" applyFill="1" applyBorder="1" applyAlignment="1">
      <alignment horizontal="center" vertical="center"/>
      <protection/>
    </xf>
    <xf numFmtId="49" fontId="29" fillId="27" borderId="10" xfId="53" applyNumberFormat="1" applyFont="1" applyFill="1" applyBorder="1" applyAlignment="1">
      <alignment horizontal="left" vertical="top" wrapText="1"/>
      <protection/>
    </xf>
    <xf numFmtId="49" fontId="29" fillId="27" borderId="10" xfId="53" applyNumberFormat="1" applyFont="1" applyFill="1" applyBorder="1" applyAlignment="1">
      <alignment horizontal="center" vertical="center"/>
      <protection/>
    </xf>
    <xf numFmtId="184" fontId="29" fillId="27" borderId="10" xfId="0" applyNumberFormat="1" applyFont="1" applyFill="1" applyBorder="1" applyAlignment="1">
      <alignment horizontal="center" vertical="center"/>
    </xf>
    <xf numFmtId="0" fontId="40" fillId="0" borderId="10" xfId="53" applyNumberFormat="1" applyFont="1" applyFill="1" applyBorder="1" applyAlignment="1">
      <alignment horizontal="center" vertical="center"/>
      <protection/>
    </xf>
    <xf numFmtId="49" fontId="40" fillId="0" borderId="10" xfId="53" applyNumberFormat="1" applyFont="1" applyFill="1" applyBorder="1" applyAlignment="1">
      <alignment horizontal="left" vertical="top" wrapText="1"/>
      <protection/>
    </xf>
    <xf numFmtId="49" fontId="40" fillId="25" borderId="10" xfId="53" applyNumberFormat="1" applyFont="1" applyFill="1" applyBorder="1" applyAlignment="1">
      <alignment horizontal="center" vertical="center"/>
      <protection/>
    </xf>
    <xf numFmtId="184" fontId="40" fillId="25" borderId="10" xfId="0" applyNumberFormat="1" applyFont="1" applyFill="1" applyBorder="1" applyAlignment="1">
      <alignment horizontal="center" vertical="center"/>
    </xf>
    <xf numFmtId="49" fontId="21" fillId="25" borderId="10" xfId="0" applyNumberFormat="1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wrapText="1"/>
    </xf>
    <xf numFmtId="49" fontId="40" fillId="0" borderId="10" xfId="0" applyNumberFormat="1" applyFont="1" applyFill="1" applyBorder="1" applyAlignment="1">
      <alignment horizontal="left" vertical="center" wrapText="1"/>
    </xf>
    <xf numFmtId="49" fontId="40" fillId="25" borderId="10" xfId="53" applyNumberFormat="1" applyFont="1" applyFill="1" applyBorder="1" applyAlignment="1" applyProtection="1">
      <alignment horizontal="center" vertical="center"/>
      <protection locked="0"/>
    </xf>
    <xf numFmtId="185" fontId="40" fillId="0" borderId="10" xfId="53" applyNumberFormat="1" applyFont="1" applyFill="1" applyBorder="1" applyAlignment="1">
      <alignment horizontal="left" vertical="top" wrapText="1"/>
      <protection/>
    </xf>
    <xf numFmtId="0" fontId="40" fillId="0" borderId="10" xfId="53" applyNumberFormat="1" applyFont="1" applyFill="1" applyBorder="1" applyAlignment="1">
      <alignment horizontal="left" vertical="top" wrapText="1"/>
      <protection/>
    </xf>
    <xf numFmtId="49" fontId="21" fillId="25" borderId="10" xfId="0" applyNumberFormat="1" applyFont="1" applyFill="1" applyBorder="1" applyAlignment="1">
      <alignment horizontal="center" vertical="center"/>
    </xf>
    <xf numFmtId="49" fontId="40" fillId="25" borderId="10" xfId="0" applyNumberFormat="1" applyFont="1" applyFill="1" applyBorder="1" applyAlignment="1">
      <alignment horizontal="center" vertical="center"/>
    </xf>
    <xf numFmtId="49" fontId="29" fillId="26" borderId="10" xfId="53" applyNumberFormat="1" applyFont="1" applyFill="1" applyBorder="1" applyAlignment="1">
      <alignment horizontal="center" vertical="center"/>
      <protection/>
    </xf>
    <xf numFmtId="184" fontId="29" fillId="26" borderId="10" xfId="0" applyNumberFormat="1" applyFont="1" applyFill="1" applyBorder="1" applyAlignment="1">
      <alignment horizontal="center" vertical="center"/>
    </xf>
    <xf numFmtId="49" fontId="100" fillId="25" borderId="10" xfId="0" applyNumberFormat="1" applyFont="1" applyFill="1" applyBorder="1" applyAlignment="1">
      <alignment horizontal="center" vertical="center" wrapText="1"/>
    </xf>
    <xf numFmtId="49" fontId="29" fillId="27" borderId="10" xfId="0" applyNumberFormat="1" applyFont="1" applyFill="1" applyBorder="1" applyAlignment="1">
      <alignment horizontal="left" vertical="center" wrapText="1"/>
    </xf>
    <xf numFmtId="0" fontId="40" fillId="25" borderId="10" xfId="0" applyFont="1" applyFill="1" applyBorder="1" applyAlignment="1">
      <alignment horizontal="center" vertical="center" wrapText="1"/>
    </xf>
    <xf numFmtId="184" fontId="21" fillId="0" borderId="10" xfId="0" applyNumberFormat="1" applyFont="1" applyFill="1" applyBorder="1" applyAlignment="1">
      <alignment horizontal="center" vertical="center"/>
    </xf>
    <xf numFmtId="184" fontId="21" fillId="25" borderId="10" xfId="0" applyNumberFormat="1" applyFont="1" applyFill="1" applyBorder="1" applyAlignment="1">
      <alignment horizontal="center" vertical="center"/>
    </xf>
    <xf numFmtId="49" fontId="40" fillId="25" borderId="10" xfId="0" applyNumberFormat="1" applyFont="1" applyFill="1" applyBorder="1" applyAlignment="1">
      <alignment horizontal="center" vertical="center" wrapText="1"/>
    </xf>
    <xf numFmtId="49" fontId="40" fillId="0" borderId="10" xfId="53" applyNumberFormat="1" applyFont="1" applyFill="1" applyBorder="1" applyAlignment="1">
      <alignment horizontal="center" vertical="center"/>
      <protection/>
    </xf>
    <xf numFmtId="184" fontId="40" fillId="0" borderId="10" xfId="0" applyNumberFormat="1" applyFont="1" applyFill="1" applyBorder="1" applyAlignment="1">
      <alignment horizontal="center" vertical="center"/>
    </xf>
    <xf numFmtId="49" fontId="21" fillId="0" borderId="10" xfId="0" applyNumberFormat="1" applyFont="1" applyFill="1" applyBorder="1" applyAlignment="1">
      <alignment horizontal="center" vertical="center"/>
    </xf>
    <xf numFmtId="0" fontId="8" fillId="27" borderId="10" xfId="53" applyNumberFormat="1" applyFont="1" applyFill="1" applyBorder="1" applyAlignment="1">
      <alignment horizontal="center" vertical="center"/>
      <protection/>
    </xf>
    <xf numFmtId="49" fontId="8" fillId="27" borderId="10" xfId="53" applyNumberFormat="1" applyFont="1" applyFill="1" applyBorder="1" applyAlignment="1">
      <alignment horizontal="left" vertical="top" wrapText="1"/>
      <protection/>
    </xf>
    <xf numFmtId="49" fontId="8" fillId="27" borderId="10" xfId="53" applyNumberFormat="1" applyFont="1" applyFill="1" applyBorder="1" applyAlignment="1">
      <alignment horizontal="center" vertical="center"/>
      <protection/>
    </xf>
    <xf numFmtId="184" fontId="8" fillId="27" borderId="10" xfId="0" applyNumberFormat="1" applyFont="1" applyFill="1" applyBorder="1" applyAlignment="1">
      <alignment horizontal="center" vertical="center"/>
    </xf>
    <xf numFmtId="0" fontId="101" fillId="25" borderId="0" xfId="0" applyFont="1" applyFill="1" applyAlignment="1">
      <alignment horizontal="right" wrapText="1"/>
    </xf>
    <xf numFmtId="0" fontId="101" fillId="25" borderId="0" xfId="0" applyFont="1" applyFill="1" applyAlignment="1">
      <alignment horizontal="right"/>
    </xf>
    <xf numFmtId="49" fontId="27" fillId="25" borderId="0" xfId="43" applyNumberFormat="1" applyFont="1" applyFill="1" applyAlignment="1">
      <alignment horizontal="center" wrapText="1"/>
    </xf>
    <xf numFmtId="0" fontId="29" fillId="25" borderId="10" xfId="0" applyFont="1" applyFill="1" applyBorder="1" applyAlignment="1">
      <alignment horizontal="center" vertical="center" wrapText="1"/>
    </xf>
    <xf numFmtId="0" fontId="29" fillId="26" borderId="10" xfId="0" applyFont="1" applyFill="1" applyBorder="1" applyAlignment="1">
      <alignment horizontal="left" wrapText="1"/>
    </xf>
    <xf numFmtId="184" fontId="96" fillId="0" borderId="0" xfId="0" applyNumberFormat="1" applyFont="1" applyFill="1" applyBorder="1" applyAlignment="1">
      <alignment horizontal="left"/>
    </xf>
    <xf numFmtId="184" fontId="29" fillId="25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100" fillId="0" borderId="0" xfId="0" applyFont="1" applyFill="1" applyAlignment="1">
      <alignment horizontal="right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5591175</xdr:colOff>
      <xdr:row>7</xdr:row>
      <xdr:rowOff>28575</xdr:rowOff>
    </xdr:from>
    <xdr:to>
      <xdr:col>7</xdr:col>
      <xdr:colOff>57150</xdr:colOff>
      <xdr:row>13</xdr:row>
      <xdr:rowOff>114300</xdr:rowOff>
    </xdr:to>
    <xdr:sp>
      <xdr:nvSpPr>
        <xdr:cNvPr id="1" name="TextBox 4"/>
        <xdr:cNvSpPr txBox="1">
          <a:spLocks noChangeArrowheads="1"/>
        </xdr:cNvSpPr>
      </xdr:nvSpPr>
      <xdr:spPr>
        <a:xfrm>
          <a:off x="6048375" y="1352550"/>
          <a:ext cx="7953375" cy="1257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«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4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  муниципальному нормативному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правовому акту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23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декабря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2021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года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№10-НПА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«О бюджете Елизовского городского поселения на 2022 год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и плановый период 2023-2024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годов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»,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принятого Решением Собрания депутатов Елизовского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городского поселения от 23 декабря 2021 года №60»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2000250</xdr:colOff>
      <xdr:row>4</xdr:row>
      <xdr:rowOff>76200</xdr:rowOff>
    </xdr:from>
    <xdr:to>
      <xdr:col>7</xdr:col>
      <xdr:colOff>0</xdr:colOff>
      <xdr:row>11</xdr:row>
      <xdr:rowOff>571500</xdr:rowOff>
    </xdr:to>
    <xdr:sp>
      <xdr:nvSpPr>
        <xdr:cNvPr id="1" name="TextBox 4"/>
        <xdr:cNvSpPr txBox="1">
          <a:spLocks noChangeArrowheads="1"/>
        </xdr:cNvSpPr>
      </xdr:nvSpPr>
      <xdr:spPr>
        <a:xfrm>
          <a:off x="2476500" y="1200150"/>
          <a:ext cx="9525000" cy="1466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«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5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  муниципальному нормативному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правовому акту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23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декабря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2021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года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№10-НПА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«О бюджете Елизовского городского поселения на 2022 год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и плановый период 2023-2024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годов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»,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принятого Решением Собрания депутатов Елизовского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городского поселения от 23 декабря 2021 года №60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»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73B5~1\AppData\Local\Temp\Rar$DIa5972.45148\&#1055;&#1088;&#1080;&#1083;&#1086;&#1078;&#1077;&#1085;&#1080;&#1077;%203%20&#1044;&#1086;&#1093;&#1086;&#1076;&#1099;%2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3"/>
    </sheetNames>
    <sheetDataSet>
      <sheetData sheetId="0">
        <row r="102">
          <cell r="C102">
            <v>35526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506"/>
  <sheetViews>
    <sheetView zoomScalePageLayoutView="0" workbookViewId="0" topLeftCell="A1">
      <selection activeCell="I12" sqref="I12"/>
    </sheetView>
  </sheetViews>
  <sheetFormatPr defaultColWidth="9.25390625" defaultRowHeight="12.75"/>
  <cols>
    <col min="1" max="1" width="6.00390625" style="31" customWidth="1"/>
    <col min="2" max="2" width="112.375" style="27" customWidth="1"/>
    <col min="3" max="3" width="6.75390625" style="147" customWidth="1"/>
    <col min="4" max="4" width="9.00390625" style="147" customWidth="1"/>
    <col min="5" max="5" width="16.75390625" style="148" customWidth="1"/>
    <col min="6" max="6" width="10.75390625" style="147" customWidth="1"/>
    <col min="7" max="7" width="21.375" style="93" customWidth="1"/>
    <col min="8" max="8" width="21.75390625" style="32" customWidth="1"/>
    <col min="9" max="9" width="14.625" style="33" customWidth="1"/>
    <col min="10" max="16384" width="9.25390625" style="33" customWidth="1"/>
  </cols>
  <sheetData>
    <row r="2" spans="2:7" ht="15" customHeight="1">
      <c r="B2" s="214" t="s">
        <v>432</v>
      </c>
      <c r="C2" s="215"/>
      <c r="D2" s="215"/>
      <c r="E2" s="215"/>
      <c r="F2" s="215"/>
      <c r="G2" s="215"/>
    </row>
    <row r="3" spans="2:7" ht="15" customHeight="1">
      <c r="B3" s="215"/>
      <c r="C3" s="215"/>
      <c r="D3" s="215"/>
      <c r="E3" s="215"/>
      <c r="F3" s="215"/>
      <c r="G3" s="215"/>
    </row>
    <row r="4" spans="2:7" ht="15" customHeight="1">
      <c r="B4" s="215"/>
      <c r="C4" s="215"/>
      <c r="D4" s="215"/>
      <c r="E4" s="215"/>
      <c r="F4" s="215"/>
      <c r="G4" s="215"/>
    </row>
    <row r="5" spans="2:7" ht="15" customHeight="1">
      <c r="B5" s="215"/>
      <c r="C5" s="215"/>
      <c r="D5" s="215"/>
      <c r="E5" s="215"/>
      <c r="F5" s="215"/>
      <c r="G5" s="215"/>
    </row>
    <row r="6" spans="2:7" ht="15" customHeight="1">
      <c r="B6" s="215"/>
      <c r="C6" s="215"/>
      <c r="D6" s="215"/>
      <c r="E6" s="215"/>
      <c r="F6" s="215"/>
      <c r="G6" s="215"/>
    </row>
    <row r="12" ht="26.25" customHeight="1"/>
    <row r="14" spans="1:8" ht="20.25">
      <c r="A14" s="216" t="s">
        <v>307</v>
      </c>
      <c r="B14" s="216"/>
      <c r="C14" s="216"/>
      <c r="D14" s="216"/>
      <c r="E14" s="216"/>
      <c r="F14" s="216"/>
      <c r="G14" s="216"/>
      <c r="H14" s="34"/>
    </row>
    <row r="15" spans="1:8" ht="15.75">
      <c r="A15" s="35"/>
      <c r="C15" s="36"/>
      <c r="D15" s="36"/>
      <c r="E15" s="37"/>
      <c r="F15" s="36"/>
      <c r="G15" s="129" t="s">
        <v>309</v>
      </c>
      <c r="H15" s="34"/>
    </row>
    <row r="16" spans="1:8" s="8" customFormat="1" ht="15.75" customHeight="1">
      <c r="A16" s="217" t="s">
        <v>0</v>
      </c>
      <c r="B16" s="217" t="s">
        <v>1</v>
      </c>
      <c r="C16" s="217" t="s">
        <v>250</v>
      </c>
      <c r="D16" s="217"/>
      <c r="E16" s="217"/>
      <c r="F16" s="217"/>
      <c r="G16" s="220" t="s">
        <v>315</v>
      </c>
      <c r="H16" s="34"/>
    </row>
    <row r="17" spans="1:8" s="8" customFormat="1" ht="47.25">
      <c r="A17" s="217"/>
      <c r="B17" s="217"/>
      <c r="C17" s="112" t="s">
        <v>2</v>
      </c>
      <c r="D17" s="112" t="s">
        <v>3</v>
      </c>
      <c r="E17" s="112" t="s">
        <v>4</v>
      </c>
      <c r="F17" s="112" t="s">
        <v>173</v>
      </c>
      <c r="G17" s="220"/>
      <c r="H17" s="34"/>
    </row>
    <row r="18" spans="1:8" s="9" customFormat="1" ht="15.75">
      <c r="A18" s="38">
        <v>1</v>
      </c>
      <c r="B18" s="39" t="s">
        <v>5</v>
      </c>
      <c r="C18" s="40" t="s">
        <v>6</v>
      </c>
      <c r="D18" s="40"/>
      <c r="E18" s="40"/>
      <c r="F18" s="40"/>
      <c r="G18" s="41">
        <f>G19</f>
        <v>26975.185</v>
      </c>
      <c r="H18" s="42"/>
    </row>
    <row r="19" spans="1:8" s="10" customFormat="1" ht="15.75">
      <c r="A19" s="43"/>
      <c r="B19" s="44" t="s">
        <v>7</v>
      </c>
      <c r="C19" s="45" t="s">
        <v>6</v>
      </c>
      <c r="D19" s="45" t="s">
        <v>8</v>
      </c>
      <c r="E19" s="46"/>
      <c r="F19" s="45"/>
      <c r="G19" s="130">
        <f>G20</f>
        <v>26975.185</v>
      </c>
      <c r="H19" s="47"/>
    </row>
    <row r="20" spans="1:8" s="10" customFormat="1" ht="31.5">
      <c r="A20" s="43"/>
      <c r="B20" s="48" t="s">
        <v>13</v>
      </c>
      <c r="C20" s="45" t="s">
        <v>6</v>
      </c>
      <c r="D20" s="45" t="s">
        <v>14</v>
      </c>
      <c r="E20" s="46" t="s">
        <v>15</v>
      </c>
      <c r="F20" s="45" t="s">
        <v>15</v>
      </c>
      <c r="G20" s="130">
        <f>G21</f>
        <v>26975.185</v>
      </c>
      <c r="H20" s="47"/>
    </row>
    <row r="21" spans="1:8" s="10" customFormat="1" ht="15.75">
      <c r="A21" s="43"/>
      <c r="B21" s="44" t="s">
        <v>9</v>
      </c>
      <c r="C21" s="45" t="s">
        <v>6</v>
      </c>
      <c r="D21" s="45" t="s">
        <v>14</v>
      </c>
      <c r="E21" s="46" t="s">
        <v>10</v>
      </c>
      <c r="F21" s="45"/>
      <c r="G21" s="130">
        <f>G22+G26</f>
        <v>26975.185</v>
      </c>
      <c r="H21" s="47"/>
    </row>
    <row r="22" spans="1:8" s="10" customFormat="1" ht="31.5">
      <c r="A22" s="43"/>
      <c r="B22" s="48" t="s">
        <v>16</v>
      </c>
      <c r="C22" s="45" t="s">
        <v>6</v>
      </c>
      <c r="D22" s="45" t="s">
        <v>14</v>
      </c>
      <c r="E22" s="46" t="s">
        <v>17</v>
      </c>
      <c r="F22" s="45"/>
      <c r="G22" s="130">
        <f>G23+G24+G25</f>
        <v>20555.023</v>
      </c>
      <c r="H22" s="47"/>
    </row>
    <row r="23" spans="1:8" s="10" customFormat="1" ht="47.25">
      <c r="A23" s="43"/>
      <c r="B23" s="44" t="s">
        <v>11</v>
      </c>
      <c r="C23" s="45" t="s">
        <v>6</v>
      </c>
      <c r="D23" s="45" t="s">
        <v>14</v>
      </c>
      <c r="E23" s="46" t="s">
        <v>17</v>
      </c>
      <c r="F23" s="45" t="s">
        <v>12</v>
      </c>
      <c r="G23" s="130">
        <f>11670.562+545.5+3528.455+636.637+69.576</f>
        <v>16450.73</v>
      </c>
      <c r="H23" s="49"/>
    </row>
    <row r="24" spans="1:8" s="10" customFormat="1" ht="15.75">
      <c r="A24" s="43"/>
      <c r="B24" s="44" t="s">
        <v>18</v>
      </c>
      <c r="C24" s="45" t="s">
        <v>6</v>
      </c>
      <c r="D24" s="45" t="s">
        <v>14</v>
      </c>
      <c r="E24" s="46" t="s">
        <v>17</v>
      </c>
      <c r="F24" s="45" t="s">
        <v>19</v>
      </c>
      <c r="G24" s="130">
        <f>4095.323-20</f>
        <v>4075.323</v>
      </c>
      <c r="H24" s="47"/>
    </row>
    <row r="25" spans="1:8" s="10" customFormat="1" ht="15.75">
      <c r="A25" s="43"/>
      <c r="B25" s="44" t="s">
        <v>20</v>
      </c>
      <c r="C25" s="45" t="s">
        <v>6</v>
      </c>
      <c r="D25" s="45" t="s">
        <v>14</v>
      </c>
      <c r="E25" s="46" t="s">
        <v>17</v>
      </c>
      <c r="F25" s="45" t="s">
        <v>21</v>
      </c>
      <c r="G25" s="130">
        <f>8.97+20</f>
        <v>28.97</v>
      </c>
      <c r="H25" s="47"/>
    </row>
    <row r="26" spans="1:8" s="10" customFormat="1" ht="15.75">
      <c r="A26" s="43"/>
      <c r="B26" s="44" t="s">
        <v>22</v>
      </c>
      <c r="C26" s="45" t="s">
        <v>6</v>
      </c>
      <c r="D26" s="45" t="s">
        <v>14</v>
      </c>
      <c r="E26" s="46" t="s">
        <v>23</v>
      </c>
      <c r="F26" s="45"/>
      <c r="G26" s="130">
        <f>G27</f>
        <v>6420.162</v>
      </c>
      <c r="H26" s="47"/>
    </row>
    <row r="27" spans="1:8" s="10" customFormat="1" ht="47.25">
      <c r="A27" s="43"/>
      <c r="B27" s="44" t="s">
        <v>11</v>
      </c>
      <c r="C27" s="45" t="s">
        <v>6</v>
      </c>
      <c r="D27" s="45" t="s">
        <v>14</v>
      </c>
      <c r="E27" s="46" t="s">
        <v>23</v>
      </c>
      <c r="F27" s="45" t="s">
        <v>12</v>
      </c>
      <c r="G27" s="130">
        <f>2473.427+105.5+582.248+2534.123+105.5+619.364</f>
        <v>6420.162</v>
      </c>
      <c r="H27" s="47"/>
    </row>
    <row r="28" spans="1:8" s="11" customFormat="1" ht="15.75">
      <c r="A28" s="38">
        <v>2</v>
      </c>
      <c r="B28" s="111" t="s">
        <v>24</v>
      </c>
      <c r="C28" s="40" t="s">
        <v>25</v>
      </c>
      <c r="D28" s="40"/>
      <c r="E28" s="40"/>
      <c r="F28" s="40"/>
      <c r="G28" s="41">
        <f>G29</f>
        <v>22955.517920000002</v>
      </c>
      <c r="H28" s="50"/>
    </row>
    <row r="29" spans="1:8" s="12" customFormat="1" ht="19.5" customHeight="1">
      <c r="A29" s="51"/>
      <c r="B29" s="44" t="s">
        <v>7</v>
      </c>
      <c r="C29" s="45" t="s">
        <v>25</v>
      </c>
      <c r="D29" s="45" t="s">
        <v>8</v>
      </c>
      <c r="E29" s="46"/>
      <c r="F29" s="45"/>
      <c r="G29" s="130">
        <f>G30</f>
        <v>22955.517920000002</v>
      </c>
      <c r="H29" s="52"/>
    </row>
    <row r="30" spans="1:8" s="12" customFormat="1" ht="31.5">
      <c r="A30" s="51"/>
      <c r="B30" s="48" t="s">
        <v>26</v>
      </c>
      <c r="C30" s="45" t="s">
        <v>25</v>
      </c>
      <c r="D30" s="45" t="s">
        <v>27</v>
      </c>
      <c r="E30" s="46" t="s">
        <v>15</v>
      </c>
      <c r="F30" s="45" t="s">
        <v>15</v>
      </c>
      <c r="G30" s="130">
        <f>G31</f>
        <v>22955.517920000002</v>
      </c>
      <c r="H30" s="52"/>
    </row>
    <row r="31" spans="1:8" s="12" customFormat="1" ht="15.75">
      <c r="A31" s="51"/>
      <c r="B31" s="44" t="s">
        <v>9</v>
      </c>
      <c r="C31" s="45" t="s">
        <v>25</v>
      </c>
      <c r="D31" s="45" t="s">
        <v>27</v>
      </c>
      <c r="E31" s="46" t="s">
        <v>10</v>
      </c>
      <c r="F31" s="45"/>
      <c r="G31" s="130">
        <f>G32+G36</f>
        <v>22955.517920000002</v>
      </c>
      <c r="H31" s="52"/>
    </row>
    <row r="32" spans="1:8" s="12" customFormat="1" ht="31.5">
      <c r="A32" s="51"/>
      <c r="B32" s="44" t="s">
        <v>16</v>
      </c>
      <c r="C32" s="45" t="s">
        <v>25</v>
      </c>
      <c r="D32" s="45" t="s">
        <v>27</v>
      </c>
      <c r="E32" s="46" t="s">
        <v>17</v>
      </c>
      <c r="F32" s="45"/>
      <c r="G32" s="130">
        <f>G33+G34+G35</f>
        <v>16747.540370000002</v>
      </c>
      <c r="H32" s="52"/>
    </row>
    <row r="33" spans="1:8" s="13" customFormat="1" ht="47.25">
      <c r="A33" s="51"/>
      <c r="B33" s="44" t="s">
        <v>11</v>
      </c>
      <c r="C33" s="45" t="s">
        <v>25</v>
      </c>
      <c r="D33" s="45" t="s">
        <v>27</v>
      </c>
      <c r="E33" s="46" t="s">
        <v>17</v>
      </c>
      <c r="F33" s="45" t="s">
        <v>12</v>
      </c>
      <c r="G33" s="130">
        <f>12792.79997+807-650+212.084</f>
        <v>13161.88397</v>
      </c>
      <c r="H33" s="53"/>
    </row>
    <row r="34" spans="1:8" s="13" customFormat="1" ht="15.75">
      <c r="A34" s="51"/>
      <c r="B34" s="44" t="s">
        <v>18</v>
      </c>
      <c r="C34" s="45" t="s">
        <v>25</v>
      </c>
      <c r="D34" s="45" t="s">
        <v>27</v>
      </c>
      <c r="E34" s="46" t="s">
        <v>17</v>
      </c>
      <c r="F34" s="45" t="s">
        <v>19</v>
      </c>
      <c r="G34" s="130">
        <f>3532.9164-2.5</f>
        <v>3530.4164</v>
      </c>
      <c r="H34" s="53"/>
    </row>
    <row r="35" spans="1:8" s="12" customFormat="1" ht="15.75">
      <c r="A35" s="51"/>
      <c r="B35" s="44" t="s">
        <v>20</v>
      </c>
      <c r="C35" s="45" t="s">
        <v>25</v>
      </c>
      <c r="D35" s="45" t="s">
        <v>27</v>
      </c>
      <c r="E35" s="46" t="s">
        <v>17</v>
      </c>
      <c r="F35" s="45" t="s">
        <v>21</v>
      </c>
      <c r="G35" s="130">
        <v>55.24</v>
      </c>
      <c r="H35" s="52"/>
    </row>
    <row r="36" spans="1:8" s="12" customFormat="1" ht="31.5">
      <c r="A36" s="51"/>
      <c r="B36" s="48" t="s">
        <v>28</v>
      </c>
      <c r="C36" s="45" t="s">
        <v>25</v>
      </c>
      <c r="D36" s="45" t="s">
        <v>27</v>
      </c>
      <c r="E36" s="46" t="s">
        <v>29</v>
      </c>
      <c r="F36" s="45"/>
      <c r="G36" s="130">
        <f>G37+G38</f>
        <v>6207.97755</v>
      </c>
      <c r="H36" s="52"/>
    </row>
    <row r="37" spans="1:8" s="13" customFormat="1" ht="47.25">
      <c r="A37" s="51"/>
      <c r="B37" s="44" t="s">
        <v>11</v>
      </c>
      <c r="C37" s="45" t="s">
        <v>25</v>
      </c>
      <c r="D37" s="45" t="s">
        <v>27</v>
      </c>
      <c r="E37" s="46" t="s">
        <v>29</v>
      </c>
      <c r="F37" s="45" t="s">
        <v>12</v>
      </c>
      <c r="G37" s="130">
        <f>6521.97755-316.5</f>
        <v>6205.47755</v>
      </c>
      <c r="H37" s="52"/>
    </row>
    <row r="38" spans="1:8" s="13" customFormat="1" ht="15.75">
      <c r="A38" s="51"/>
      <c r="B38" s="44" t="s">
        <v>18</v>
      </c>
      <c r="C38" s="45" t="s">
        <v>25</v>
      </c>
      <c r="D38" s="45" t="s">
        <v>27</v>
      </c>
      <c r="E38" s="46" t="s">
        <v>29</v>
      </c>
      <c r="F38" s="45" t="s">
        <v>19</v>
      </c>
      <c r="G38" s="130">
        <f>52.584+-50.084</f>
        <v>2.5</v>
      </c>
      <c r="H38" s="52"/>
    </row>
    <row r="39" spans="1:8" s="12" customFormat="1" ht="15.75">
      <c r="A39" s="38">
        <v>3</v>
      </c>
      <c r="B39" s="39" t="s">
        <v>30</v>
      </c>
      <c r="C39" s="40" t="s">
        <v>31</v>
      </c>
      <c r="D39" s="40"/>
      <c r="E39" s="40"/>
      <c r="F39" s="40"/>
      <c r="G39" s="41">
        <f>G40+G64</f>
        <v>19724.4921</v>
      </c>
      <c r="H39" s="50"/>
    </row>
    <row r="40" spans="1:8" s="10" customFormat="1" ht="15.75">
      <c r="A40" s="51"/>
      <c r="B40" s="44" t="s">
        <v>7</v>
      </c>
      <c r="C40" s="45" t="s">
        <v>31</v>
      </c>
      <c r="D40" s="45" t="s">
        <v>8</v>
      </c>
      <c r="E40" s="46"/>
      <c r="F40" s="45"/>
      <c r="G40" s="130">
        <f>G41+G52+G56</f>
        <v>19524.4921</v>
      </c>
      <c r="H40" s="47"/>
    </row>
    <row r="41" spans="1:8" s="10" customFormat="1" ht="31.5">
      <c r="A41" s="51"/>
      <c r="B41" s="44" t="s">
        <v>32</v>
      </c>
      <c r="C41" s="45" t="s">
        <v>31</v>
      </c>
      <c r="D41" s="45" t="s">
        <v>33</v>
      </c>
      <c r="E41" s="46" t="s">
        <v>15</v>
      </c>
      <c r="F41" s="45" t="s">
        <v>15</v>
      </c>
      <c r="G41" s="130">
        <f>G42</f>
        <v>14237.53824</v>
      </c>
      <c r="H41" s="47"/>
    </row>
    <row r="42" spans="1:8" s="10" customFormat="1" ht="15.75">
      <c r="A42" s="51"/>
      <c r="B42" s="44" t="s">
        <v>9</v>
      </c>
      <c r="C42" s="45" t="s">
        <v>31</v>
      </c>
      <c r="D42" s="45" t="s">
        <v>33</v>
      </c>
      <c r="E42" s="46" t="s">
        <v>10</v>
      </c>
      <c r="F42" s="45"/>
      <c r="G42" s="130">
        <f>G43+G47+G50</f>
        <v>14237.53824</v>
      </c>
      <c r="H42" s="47"/>
    </row>
    <row r="43" spans="1:8" s="10" customFormat="1" ht="31.5">
      <c r="A43" s="51"/>
      <c r="B43" s="44" t="s">
        <v>16</v>
      </c>
      <c r="C43" s="45" t="s">
        <v>31</v>
      </c>
      <c r="D43" s="45" t="s">
        <v>33</v>
      </c>
      <c r="E43" s="46" t="s">
        <v>17</v>
      </c>
      <c r="F43" s="45"/>
      <c r="G43" s="130">
        <f>G44+G45+G46</f>
        <v>5657.002619999999</v>
      </c>
      <c r="H43" s="47"/>
    </row>
    <row r="44" spans="1:8" s="10" customFormat="1" ht="47.25">
      <c r="A44" s="51"/>
      <c r="B44" s="44" t="s">
        <v>11</v>
      </c>
      <c r="C44" s="45" t="s">
        <v>31</v>
      </c>
      <c r="D44" s="45" t="s">
        <v>33</v>
      </c>
      <c r="E44" s="46" t="s">
        <v>17</v>
      </c>
      <c r="F44" s="45" t="s">
        <v>12</v>
      </c>
      <c r="G44" s="130">
        <f>3484.17962-221.37083+1446.942-137.5+221.382-66.14917</f>
        <v>4727.48362</v>
      </c>
      <c r="H44" s="47"/>
    </row>
    <row r="45" spans="1:8" s="10" customFormat="1" ht="15.75">
      <c r="A45" s="51"/>
      <c r="B45" s="44" t="s">
        <v>18</v>
      </c>
      <c r="C45" s="45" t="s">
        <v>31</v>
      </c>
      <c r="D45" s="45" t="s">
        <v>33</v>
      </c>
      <c r="E45" s="46" t="s">
        <v>17</v>
      </c>
      <c r="F45" s="45" t="s">
        <v>19</v>
      </c>
      <c r="G45" s="130">
        <f>362.552+250</f>
        <v>612.552</v>
      </c>
      <c r="H45" s="47"/>
    </row>
    <row r="46" spans="1:8" s="10" customFormat="1" ht="15.75">
      <c r="A46" s="51"/>
      <c r="B46" s="44" t="s">
        <v>20</v>
      </c>
      <c r="C46" s="45" t="s">
        <v>31</v>
      </c>
      <c r="D46" s="45" t="s">
        <v>33</v>
      </c>
      <c r="E46" s="46" t="s">
        <v>17</v>
      </c>
      <c r="F46" s="45" t="s">
        <v>21</v>
      </c>
      <c r="G46" s="130">
        <f>128.7+221.37083-275.07083+241.967</f>
        <v>316.967</v>
      </c>
      <c r="H46" s="47"/>
    </row>
    <row r="47" spans="1:8" s="10" customFormat="1" ht="15.75">
      <c r="A47" s="51"/>
      <c r="B47" s="44" t="s">
        <v>34</v>
      </c>
      <c r="C47" s="45" t="s">
        <v>31</v>
      </c>
      <c r="D47" s="45" t="s">
        <v>33</v>
      </c>
      <c r="E47" s="46" t="s">
        <v>35</v>
      </c>
      <c r="F47" s="45"/>
      <c r="G47" s="130">
        <f>G48+G49</f>
        <v>8007.96479</v>
      </c>
      <c r="H47" s="47"/>
    </row>
    <row r="48" spans="1:8" s="10" customFormat="1" ht="47.25">
      <c r="A48" s="51"/>
      <c r="B48" s="44" t="s">
        <v>11</v>
      </c>
      <c r="C48" s="45" t="s">
        <v>31</v>
      </c>
      <c r="D48" s="45" t="s">
        <v>33</v>
      </c>
      <c r="E48" s="46" t="s">
        <v>35</v>
      </c>
      <c r="F48" s="45" t="s">
        <v>12</v>
      </c>
      <c r="G48" s="130">
        <f>4139.35893+2840.12997+517.28+434.53989</f>
        <v>7931.30879</v>
      </c>
      <c r="H48" s="47"/>
    </row>
    <row r="49" spans="1:8" s="10" customFormat="1" ht="15.75">
      <c r="A49" s="51"/>
      <c r="B49" s="44" t="s">
        <v>18</v>
      </c>
      <c r="C49" s="45" t="s">
        <v>31</v>
      </c>
      <c r="D49" s="45" t="s">
        <v>33</v>
      </c>
      <c r="E49" s="46" t="s">
        <v>35</v>
      </c>
      <c r="F49" s="45" t="s">
        <v>19</v>
      </c>
      <c r="G49" s="130">
        <v>76.656</v>
      </c>
      <c r="H49" s="47"/>
    </row>
    <row r="50" spans="1:8" s="10" customFormat="1" ht="15.75">
      <c r="A50" s="51"/>
      <c r="B50" s="44" t="s">
        <v>409</v>
      </c>
      <c r="C50" s="45" t="s">
        <v>31</v>
      </c>
      <c r="D50" s="45" t="s">
        <v>33</v>
      </c>
      <c r="E50" s="46" t="s">
        <v>352</v>
      </c>
      <c r="F50" s="45"/>
      <c r="G50" s="130">
        <f>G51</f>
        <v>572.57083</v>
      </c>
      <c r="H50" s="47"/>
    </row>
    <row r="51" spans="1:8" s="10" customFormat="1" ht="15.75">
      <c r="A51" s="51"/>
      <c r="B51" s="44" t="s">
        <v>20</v>
      </c>
      <c r="C51" s="45" t="s">
        <v>31</v>
      </c>
      <c r="D51" s="45" t="s">
        <v>33</v>
      </c>
      <c r="E51" s="46" t="s">
        <v>352</v>
      </c>
      <c r="F51" s="45" t="s">
        <v>21</v>
      </c>
      <c r="G51" s="130">
        <f>412.57083+160</f>
        <v>572.57083</v>
      </c>
      <c r="H51" s="47"/>
    </row>
    <row r="52" spans="1:8" s="10" customFormat="1" ht="15.75">
      <c r="A52" s="51"/>
      <c r="B52" s="54" t="s">
        <v>36</v>
      </c>
      <c r="C52" s="45" t="s">
        <v>31</v>
      </c>
      <c r="D52" s="45" t="s">
        <v>37</v>
      </c>
      <c r="E52" s="46"/>
      <c r="F52" s="45"/>
      <c r="G52" s="130">
        <f>G53</f>
        <v>200</v>
      </c>
      <c r="H52" s="55"/>
    </row>
    <row r="53" spans="1:8" s="10" customFormat="1" ht="15.75">
      <c r="A53" s="51"/>
      <c r="B53" s="44" t="s">
        <v>9</v>
      </c>
      <c r="C53" s="45" t="s">
        <v>31</v>
      </c>
      <c r="D53" s="45" t="s">
        <v>37</v>
      </c>
      <c r="E53" s="46" t="s">
        <v>10</v>
      </c>
      <c r="F53" s="45"/>
      <c r="G53" s="130">
        <f>G54</f>
        <v>200</v>
      </c>
      <c r="H53" s="55"/>
    </row>
    <row r="54" spans="1:8" s="14" customFormat="1" ht="15.75">
      <c r="A54" s="51"/>
      <c r="B54" s="48" t="s">
        <v>38</v>
      </c>
      <c r="C54" s="45" t="s">
        <v>31</v>
      </c>
      <c r="D54" s="45" t="s">
        <v>37</v>
      </c>
      <c r="E54" s="46" t="s">
        <v>39</v>
      </c>
      <c r="F54" s="45"/>
      <c r="G54" s="130">
        <f>G55</f>
        <v>200</v>
      </c>
      <c r="H54" s="55"/>
    </row>
    <row r="55" spans="1:8" s="15" customFormat="1" ht="15.75">
      <c r="A55" s="51"/>
      <c r="B55" s="44" t="s">
        <v>20</v>
      </c>
      <c r="C55" s="45" t="s">
        <v>31</v>
      </c>
      <c r="D55" s="45" t="s">
        <v>37</v>
      </c>
      <c r="E55" s="46" t="s">
        <v>39</v>
      </c>
      <c r="F55" s="45" t="s">
        <v>21</v>
      </c>
      <c r="G55" s="130">
        <f>400-200</f>
        <v>200</v>
      </c>
      <c r="H55" s="56"/>
    </row>
    <row r="56" spans="1:8" s="15" customFormat="1" ht="15.75">
      <c r="A56" s="51"/>
      <c r="B56" s="44" t="s">
        <v>40</v>
      </c>
      <c r="C56" s="45" t="s">
        <v>31</v>
      </c>
      <c r="D56" s="45" t="s">
        <v>41</v>
      </c>
      <c r="E56" s="46"/>
      <c r="F56" s="45"/>
      <c r="G56" s="130">
        <f>G57</f>
        <v>5086.95386</v>
      </c>
      <c r="H56" s="56"/>
    </row>
    <row r="57" spans="1:8" s="15" customFormat="1" ht="15.75">
      <c r="A57" s="51"/>
      <c r="B57" s="44" t="s">
        <v>9</v>
      </c>
      <c r="C57" s="45" t="s">
        <v>31</v>
      </c>
      <c r="D57" s="45" t="s">
        <v>41</v>
      </c>
      <c r="E57" s="46" t="s">
        <v>10</v>
      </c>
      <c r="F57" s="45"/>
      <c r="G57" s="130">
        <f>G62+G58+G60</f>
        <v>5086.95386</v>
      </c>
      <c r="H57" s="56"/>
    </row>
    <row r="58" spans="1:8" s="15" customFormat="1" ht="31.5">
      <c r="A58" s="51"/>
      <c r="B58" s="44" t="s">
        <v>252</v>
      </c>
      <c r="C58" s="45" t="s">
        <v>31</v>
      </c>
      <c r="D58" s="45" t="s">
        <v>41</v>
      </c>
      <c r="E58" s="46" t="s">
        <v>48</v>
      </c>
      <c r="F58" s="45"/>
      <c r="G58" s="130">
        <f>G59</f>
        <v>3658.90386</v>
      </c>
      <c r="H58" s="56"/>
    </row>
    <row r="59" spans="1:8" s="15" customFormat="1" ht="15.75">
      <c r="A59" s="51"/>
      <c r="B59" s="48" t="s">
        <v>49</v>
      </c>
      <c r="C59" s="45" t="s">
        <v>31</v>
      </c>
      <c r="D59" s="45" t="s">
        <v>41</v>
      </c>
      <c r="E59" s="46" t="s">
        <v>48</v>
      </c>
      <c r="F59" s="45" t="s">
        <v>50</v>
      </c>
      <c r="G59" s="130">
        <f>3642.044-50+66.85986</f>
        <v>3658.90386</v>
      </c>
      <c r="H59" s="56"/>
    </row>
    <row r="60" spans="1:8" s="145" customFormat="1" ht="31.5">
      <c r="A60" s="78"/>
      <c r="B60" s="87" t="s">
        <v>383</v>
      </c>
      <c r="C60" s="80" t="s">
        <v>31</v>
      </c>
      <c r="D60" s="80" t="s">
        <v>41</v>
      </c>
      <c r="E60" s="81" t="s">
        <v>384</v>
      </c>
      <c r="F60" s="80"/>
      <c r="G60" s="143">
        <f>G61</f>
        <v>150</v>
      </c>
      <c r="H60" s="144"/>
    </row>
    <row r="61" spans="1:8" s="145" customFormat="1" ht="15.75">
      <c r="A61" s="78"/>
      <c r="B61" s="87" t="s">
        <v>385</v>
      </c>
      <c r="C61" s="80" t="s">
        <v>31</v>
      </c>
      <c r="D61" s="80" t="s">
        <v>41</v>
      </c>
      <c r="E61" s="81" t="s">
        <v>384</v>
      </c>
      <c r="F61" s="80" t="s">
        <v>50</v>
      </c>
      <c r="G61" s="143">
        <f>50+100</f>
        <v>150</v>
      </c>
      <c r="H61" s="144"/>
    </row>
    <row r="62" spans="1:8" s="11" customFormat="1" ht="31.5">
      <c r="A62" s="51"/>
      <c r="B62" s="44" t="s">
        <v>42</v>
      </c>
      <c r="C62" s="45" t="s">
        <v>31</v>
      </c>
      <c r="D62" s="45" t="s">
        <v>41</v>
      </c>
      <c r="E62" s="46" t="s">
        <v>43</v>
      </c>
      <c r="F62" s="45"/>
      <c r="G62" s="130">
        <f>G63</f>
        <v>1278.0500000000002</v>
      </c>
      <c r="H62" s="52"/>
    </row>
    <row r="63" spans="1:8" s="15" customFormat="1" ht="15.75">
      <c r="A63" s="51"/>
      <c r="B63" s="44" t="s">
        <v>20</v>
      </c>
      <c r="C63" s="45" t="s">
        <v>31</v>
      </c>
      <c r="D63" s="45" t="s">
        <v>41</v>
      </c>
      <c r="E63" s="46" t="s">
        <v>43</v>
      </c>
      <c r="F63" s="45" t="s">
        <v>21</v>
      </c>
      <c r="G63" s="130">
        <f>6000-710-4011.95</f>
        <v>1278.0500000000002</v>
      </c>
      <c r="H63" s="52"/>
    </row>
    <row r="64" spans="1:8" s="15" customFormat="1" ht="15.75">
      <c r="A64" s="51"/>
      <c r="B64" s="44" t="s">
        <v>44</v>
      </c>
      <c r="C64" s="45" t="s">
        <v>31</v>
      </c>
      <c r="D64" s="45" t="s">
        <v>45</v>
      </c>
      <c r="E64" s="46"/>
      <c r="F64" s="45"/>
      <c r="G64" s="130">
        <f>G65</f>
        <v>200</v>
      </c>
      <c r="H64" s="52"/>
    </row>
    <row r="65" spans="1:8" s="15" customFormat="1" ht="15.75">
      <c r="A65" s="51"/>
      <c r="B65" s="44" t="s">
        <v>46</v>
      </c>
      <c r="C65" s="45" t="s">
        <v>31</v>
      </c>
      <c r="D65" s="45" t="s">
        <v>47</v>
      </c>
      <c r="E65" s="46"/>
      <c r="F65" s="45"/>
      <c r="G65" s="130">
        <f>G66</f>
        <v>200</v>
      </c>
      <c r="H65" s="52"/>
    </row>
    <row r="66" spans="1:8" s="15" customFormat="1" ht="15.75">
      <c r="A66" s="51"/>
      <c r="B66" s="44" t="s">
        <v>9</v>
      </c>
      <c r="C66" s="45" t="s">
        <v>31</v>
      </c>
      <c r="D66" s="45" t="s">
        <v>47</v>
      </c>
      <c r="E66" s="46" t="s">
        <v>10</v>
      </c>
      <c r="F66" s="45"/>
      <c r="G66" s="130">
        <f>G67</f>
        <v>200</v>
      </c>
      <c r="H66" s="52"/>
    </row>
    <row r="67" spans="1:8" s="15" customFormat="1" ht="31.5">
      <c r="A67" s="51"/>
      <c r="B67" s="44" t="s">
        <v>403</v>
      </c>
      <c r="C67" s="45" t="s">
        <v>31</v>
      </c>
      <c r="D67" s="45" t="s">
        <v>47</v>
      </c>
      <c r="E67" s="46" t="s">
        <v>402</v>
      </c>
      <c r="F67" s="45"/>
      <c r="G67" s="130">
        <f>G68</f>
        <v>200</v>
      </c>
      <c r="H67" s="52"/>
    </row>
    <row r="68" spans="1:8" s="15" customFormat="1" ht="15.75">
      <c r="A68" s="51"/>
      <c r="B68" s="87" t="s">
        <v>385</v>
      </c>
      <c r="C68" s="45" t="s">
        <v>31</v>
      </c>
      <c r="D68" s="45" t="s">
        <v>47</v>
      </c>
      <c r="E68" s="46" t="s">
        <v>402</v>
      </c>
      <c r="F68" s="45" t="s">
        <v>50</v>
      </c>
      <c r="G68" s="130">
        <v>200</v>
      </c>
      <c r="H68" s="52"/>
    </row>
    <row r="69" spans="1:8" s="12" customFormat="1" ht="15.75">
      <c r="A69" s="38">
        <v>4</v>
      </c>
      <c r="B69" s="39" t="s">
        <v>51</v>
      </c>
      <c r="C69" s="40" t="s">
        <v>52</v>
      </c>
      <c r="D69" s="40"/>
      <c r="E69" s="40"/>
      <c r="F69" s="40"/>
      <c r="G69" s="41">
        <f>G70+G84+G89</f>
        <v>27046.85452</v>
      </c>
      <c r="H69" s="50"/>
    </row>
    <row r="70" spans="1:8" s="15" customFormat="1" ht="15.75">
      <c r="A70" s="51"/>
      <c r="B70" s="44" t="s">
        <v>7</v>
      </c>
      <c r="C70" s="45" t="s">
        <v>52</v>
      </c>
      <c r="D70" s="45" t="s">
        <v>8</v>
      </c>
      <c r="E70" s="46"/>
      <c r="F70" s="45"/>
      <c r="G70" s="130">
        <f>G71+G79</f>
        <v>21364.65212</v>
      </c>
      <c r="H70" s="52"/>
    </row>
    <row r="71" spans="1:8" s="15" customFormat="1" ht="31.5">
      <c r="A71" s="51"/>
      <c r="B71" s="48" t="s">
        <v>26</v>
      </c>
      <c r="C71" s="45" t="s">
        <v>52</v>
      </c>
      <c r="D71" s="45" t="s">
        <v>27</v>
      </c>
      <c r="E71" s="46" t="s">
        <v>15</v>
      </c>
      <c r="F71" s="45" t="s">
        <v>15</v>
      </c>
      <c r="G71" s="130">
        <f>G72</f>
        <v>21264.08212</v>
      </c>
      <c r="H71" s="53"/>
    </row>
    <row r="72" spans="1:8" s="15" customFormat="1" ht="15.75">
      <c r="A72" s="51"/>
      <c r="B72" s="44" t="s">
        <v>9</v>
      </c>
      <c r="C72" s="45" t="s">
        <v>52</v>
      </c>
      <c r="D72" s="45" t="s">
        <v>27</v>
      </c>
      <c r="E72" s="46" t="s">
        <v>10</v>
      </c>
      <c r="F72" s="45"/>
      <c r="G72" s="130">
        <f>G73+G77</f>
        <v>21264.08212</v>
      </c>
      <c r="H72" s="53"/>
    </row>
    <row r="73" spans="1:8" s="15" customFormat="1" ht="31.5">
      <c r="A73" s="51"/>
      <c r="B73" s="44" t="s">
        <v>16</v>
      </c>
      <c r="C73" s="45" t="s">
        <v>52</v>
      </c>
      <c r="D73" s="45" t="s">
        <v>27</v>
      </c>
      <c r="E73" s="46" t="s">
        <v>17</v>
      </c>
      <c r="F73" s="45"/>
      <c r="G73" s="130">
        <f>G74+G75+G76</f>
        <v>21191.20163</v>
      </c>
      <c r="H73" s="52"/>
    </row>
    <row r="74" spans="1:8" s="16" customFormat="1" ht="47.25">
      <c r="A74" s="58"/>
      <c r="B74" s="44" t="s">
        <v>11</v>
      </c>
      <c r="C74" s="45" t="s">
        <v>52</v>
      </c>
      <c r="D74" s="45" t="s">
        <v>27</v>
      </c>
      <c r="E74" s="46" t="s">
        <v>17</v>
      </c>
      <c r="F74" s="45" t="s">
        <v>12</v>
      </c>
      <c r="G74" s="130">
        <f>13792.29046+799.422+4103.94166-149.32049+980.10685+295.99227</f>
        <v>19822.43275</v>
      </c>
      <c r="H74" s="59"/>
    </row>
    <row r="75" spans="1:8" s="16" customFormat="1" ht="15.75">
      <c r="A75" s="58"/>
      <c r="B75" s="44" t="s">
        <v>18</v>
      </c>
      <c r="C75" s="45" t="s">
        <v>52</v>
      </c>
      <c r="D75" s="45" t="s">
        <v>27</v>
      </c>
      <c r="E75" s="46" t="s">
        <v>17</v>
      </c>
      <c r="F75" s="45" t="s">
        <v>19</v>
      </c>
      <c r="G75" s="130">
        <f>937.32888+80+76.382+65+210</f>
        <v>1368.71088</v>
      </c>
      <c r="H75" s="59"/>
    </row>
    <row r="76" spans="1:8" s="16" customFormat="1" ht="15.75">
      <c r="A76" s="58"/>
      <c r="B76" s="44" t="s">
        <v>20</v>
      </c>
      <c r="C76" s="45" t="s">
        <v>52</v>
      </c>
      <c r="D76" s="45" t="s">
        <v>27</v>
      </c>
      <c r="E76" s="46" t="s">
        <v>17</v>
      </c>
      <c r="F76" s="45" t="s">
        <v>21</v>
      </c>
      <c r="G76" s="130">
        <v>0.058</v>
      </c>
      <c r="H76" s="59"/>
    </row>
    <row r="77" spans="1:8" s="16" customFormat="1" ht="15.75">
      <c r="A77" s="58"/>
      <c r="B77" s="44" t="s">
        <v>404</v>
      </c>
      <c r="C77" s="45" t="s">
        <v>52</v>
      </c>
      <c r="D77" s="45" t="s">
        <v>27</v>
      </c>
      <c r="E77" s="46" t="s">
        <v>352</v>
      </c>
      <c r="F77" s="45"/>
      <c r="G77" s="130">
        <f>G78</f>
        <v>72.88049</v>
      </c>
      <c r="H77" s="59"/>
    </row>
    <row r="78" spans="1:8" s="16" customFormat="1" ht="15.75">
      <c r="A78" s="58"/>
      <c r="B78" s="44" t="s">
        <v>18</v>
      </c>
      <c r="C78" s="45" t="s">
        <v>52</v>
      </c>
      <c r="D78" s="45" t="s">
        <v>27</v>
      </c>
      <c r="E78" s="46" t="s">
        <v>352</v>
      </c>
      <c r="F78" s="45" t="s">
        <v>19</v>
      </c>
      <c r="G78" s="130">
        <v>72.88049</v>
      </c>
      <c r="H78" s="59"/>
    </row>
    <row r="79" spans="1:8" s="11" customFormat="1" ht="15.75">
      <c r="A79" s="51"/>
      <c r="B79" s="44" t="s">
        <v>40</v>
      </c>
      <c r="C79" s="45" t="s">
        <v>52</v>
      </c>
      <c r="D79" s="45" t="s">
        <v>41</v>
      </c>
      <c r="E79" s="46"/>
      <c r="F79" s="45"/>
      <c r="G79" s="130">
        <f>G80</f>
        <v>100.57</v>
      </c>
      <c r="H79" s="52"/>
    </row>
    <row r="80" spans="1:8" s="11" customFormat="1" ht="31.5">
      <c r="A80" s="51"/>
      <c r="B80" s="44" t="s">
        <v>188</v>
      </c>
      <c r="C80" s="45" t="s">
        <v>52</v>
      </c>
      <c r="D80" s="45" t="s">
        <v>41</v>
      </c>
      <c r="E80" s="46" t="s">
        <v>53</v>
      </c>
      <c r="F80" s="45"/>
      <c r="G80" s="130">
        <f>G81</f>
        <v>100.57</v>
      </c>
      <c r="H80" s="52"/>
    </row>
    <row r="81" spans="1:8" s="11" customFormat="1" ht="78.75">
      <c r="A81" s="51"/>
      <c r="B81" s="60" t="s">
        <v>253</v>
      </c>
      <c r="C81" s="45" t="s">
        <v>52</v>
      </c>
      <c r="D81" s="45" t="s">
        <v>41</v>
      </c>
      <c r="E81" s="46" t="s">
        <v>54</v>
      </c>
      <c r="F81" s="45"/>
      <c r="G81" s="130">
        <f>G82+G83</f>
        <v>100.57</v>
      </c>
      <c r="H81" s="52"/>
    </row>
    <row r="82" spans="1:8" s="11" customFormat="1" ht="15.75">
      <c r="A82" s="51"/>
      <c r="B82" s="44" t="s">
        <v>18</v>
      </c>
      <c r="C82" s="45" t="s">
        <v>52</v>
      </c>
      <c r="D82" s="45" t="s">
        <v>41</v>
      </c>
      <c r="E82" s="46" t="s">
        <v>54</v>
      </c>
      <c r="F82" s="45" t="s">
        <v>19</v>
      </c>
      <c r="G82" s="130">
        <f>5-4.43</f>
        <v>0.5700000000000003</v>
      </c>
      <c r="H82" s="52"/>
    </row>
    <row r="83" spans="1:8" s="11" customFormat="1" ht="15.75">
      <c r="A83" s="51"/>
      <c r="B83" s="44" t="s">
        <v>20</v>
      </c>
      <c r="C83" s="45" t="s">
        <v>52</v>
      </c>
      <c r="D83" s="45" t="s">
        <v>41</v>
      </c>
      <c r="E83" s="46" t="s">
        <v>54</v>
      </c>
      <c r="F83" s="45" t="s">
        <v>21</v>
      </c>
      <c r="G83" s="130">
        <v>100</v>
      </c>
      <c r="H83" s="52"/>
    </row>
    <row r="84" spans="1:8" s="11" customFormat="1" ht="15.75">
      <c r="A84" s="57"/>
      <c r="B84" s="44" t="s">
        <v>44</v>
      </c>
      <c r="C84" s="45" t="s">
        <v>52</v>
      </c>
      <c r="D84" s="45" t="s">
        <v>45</v>
      </c>
      <c r="E84" s="46"/>
      <c r="F84" s="45"/>
      <c r="G84" s="130">
        <f>G85</f>
        <v>5182.2024</v>
      </c>
      <c r="H84" s="52"/>
    </row>
    <row r="85" spans="1:8" s="11" customFormat="1" ht="15.75">
      <c r="A85" s="57"/>
      <c r="B85" s="44" t="s">
        <v>55</v>
      </c>
      <c r="C85" s="45" t="s">
        <v>52</v>
      </c>
      <c r="D85" s="45" t="s">
        <v>56</v>
      </c>
      <c r="E85" s="46"/>
      <c r="F85" s="45"/>
      <c r="G85" s="130">
        <f>G87</f>
        <v>5182.2024</v>
      </c>
      <c r="H85" s="52"/>
    </row>
    <row r="86" spans="1:8" s="11" customFormat="1" ht="15.75">
      <c r="A86" s="57"/>
      <c r="B86" s="44" t="s">
        <v>9</v>
      </c>
      <c r="C86" s="45" t="s">
        <v>52</v>
      </c>
      <c r="D86" s="45" t="s">
        <v>56</v>
      </c>
      <c r="E86" s="46" t="s">
        <v>10</v>
      </c>
      <c r="F86" s="45"/>
      <c r="G86" s="130">
        <f>G87</f>
        <v>5182.2024</v>
      </c>
      <c r="H86" s="52"/>
    </row>
    <row r="87" spans="1:8" s="11" customFormat="1" ht="15.75">
      <c r="A87" s="43"/>
      <c r="B87" s="48" t="s">
        <v>57</v>
      </c>
      <c r="C87" s="45" t="s">
        <v>52</v>
      </c>
      <c r="D87" s="45" t="s">
        <v>56</v>
      </c>
      <c r="E87" s="46" t="s">
        <v>58</v>
      </c>
      <c r="F87" s="45"/>
      <c r="G87" s="130">
        <f>G88</f>
        <v>5182.2024</v>
      </c>
      <c r="H87" s="52"/>
    </row>
    <row r="88" spans="1:8" s="11" customFormat="1" ht="15.75">
      <c r="A88" s="43"/>
      <c r="B88" s="48" t="s">
        <v>49</v>
      </c>
      <c r="C88" s="45" t="s">
        <v>52</v>
      </c>
      <c r="D88" s="45" t="s">
        <v>56</v>
      </c>
      <c r="E88" s="46" t="s">
        <v>58</v>
      </c>
      <c r="F88" s="45" t="s">
        <v>50</v>
      </c>
      <c r="G88" s="130">
        <f>4148.7312+1033.4712</f>
        <v>5182.2024</v>
      </c>
      <c r="H88" s="52"/>
    </row>
    <row r="89" spans="1:8" s="11" customFormat="1" ht="15.75">
      <c r="A89" s="43"/>
      <c r="B89" s="54" t="s">
        <v>389</v>
      </c>
      <c r="C89" s="45" t="s">
        <v>52</v>
      </c>
      <c r="D89" s="45" t="s">
        <v>386</v>
      </c>
      <c r="E89" s="46"/>
      <c r="F89" s="45"/>
      <c r="G89" s="130">
        <f>G90</f>
        <v>500</v>
      </c>
      <c r="H89" s="52"/>
    </row>
    <row r="90" spans="1:8" s="11" customFormat="1" ht="15.75">
      <c r="A90" s="43"/>
      <c r="B90" s="54" t="s">
        <v>387</v>
      </c>
      <c r="C90" s="45" t="s">
        <v>52</v>
      </c>
      <c r="D90" s="45" t="s">
        <v>388</v>
      </c>
      <c r="E90" s="46"/>
      <c r="F90" s="45"/>
      <c r="G90" s="130">
        <f>G91</f>
        <v>500</v>
      </c>
      <c r="H90" s="52"/>
    </row>
    <row r="91" spans="1:8" s="11" customFormat="1" ht="31.5">
      <c r="A91" s="43"/>
      <c r="B91" s="87" t="s">
        <v>216</v>
      </c>
      <c r="C91" s="80" t="s">
        <v>52</v>
      </c>
      <c r="D91" s="80" t="s">
        <v>388</v>
      </c>
      <c r="E91" s="81" t="s">
        <v>155</v>
      </c>
      <c r="F91" s="45"/>
      <c r="G91" s="130">
        <f>G92</f>
        <v>500</v>
      </c>
      <c r="H91" s="52"/>
    </row>
    <row r="92" spans="1:8" s="11" customFormat="1" ht="47.25">
      <c r="A92" s="43"/>
      <c r="B92" s="48" t="s">
        <v>390</v>
      </c>
      <c r="C92" s="80" t="s">
        <v>52</v>
      </c>
      <c r="D92" s="80" t="s">
        <v>388</v>
      </c>
      <c r="E92" s="81" t="s">
        <v>391</v>
      </c>
      <c r="F92" s="45"/>
      <c r="G92" s="130">
        <f>G93</f>
        <v>500</v>
      </c>
      <c r="H92" s="52"/>
    </row>
    <row r="93" spans="1:8" s="11" customFormat="1" ht="15.75">
      <c r="A93" s="43"/>
      <c r="B93" s="48" t="s">
        <v>393</v>
      </c>
      <c r="C93" s="80" t="s">
        <v>52</v>
      </c>
      <c r="D93" s="80" t="s">
        <v>388</v>
      </c>
      <c r="E93" s="81" t="s">
        <v>391</v>
      </c>
      <c r="F93" s="45" t="s">
        <v>392</v>
      </c>
      <c r="G93" s="130">
        <v>500</v>
      </c>
      <c r="H93" s="52"/>
    </row>
    <row r="94" spans="1:8" s="12" customFormat="1" ht="15.75">
      <c r="A94" s="38">
        <v>5</v>
      </c>
      <c r="B94" s="39" t="s">
        <v>59</v>
      </c>
      <c r="C94" s="40" t="s">
        <v>60</v>
      </c>
      <c r="D94" s="40"/>
      <c r="E94" s="40"/>
      <c r="F94" s="40"/>
      <c r="G94" s="41">
        <f>G95+G107+G147+G243+G266+G102</f>
        <v>542079.76737</v>
      </c>
      <c r="H94" s="50"/>
    </row>
    <row r="95" spans="1:8" s="12" customFormat="1" ht="15.75">
      <c r="A95" s="120"/>
      <c r="B95" s="48" t="s">
        <v>7</v>
      </c>
      <c r="C95" s="46" t="s">
        <v>60</v>
      </c>
      <c r="D95" s="46" t="s">
        <v>8</v>
      </c>
      <c r="E95" s="46"/>
      <c r="F95" s="46"/>
      <c r="G95" s="130">
        <f>G96</f>
        <v>7434.5</v>
      </c>
      <c r="H95" s="50"/>
    </row>
    <row r="96" spans="1:8" s="12" customFormat="1" ht="15.75">
      <c r="A96" s="120"/>
      <c r="B96" s="48" t="s">
        <v>40</v>
      </c>
      <c r="C96" s="46" t="s">
        <v>60</v>
      </c>
      <c r="D96" s="46" t="s">
        <v>41</v>
      </c>
      <c r="E96" s="46"/>
      <c r="F96" s="46"/>
      <c r="G96" s="130">
        <f>G97</f>
        <v>7434.5</v>
      </c>
      <c r="H96" s="50"/>
    </row>
    <row r="97" spans="1:8" s="12" customFormat="1" ht="15.75">
      <c r="A97" s="120"/>
      <c r="B97" s="48" t="s">
        <v>9</v>
      </c>
      <c r="C97" s="46" t="s">
        <v>60</v>
      </c>
      <c r="D97" s="46" t="s">
        <v>41</v>
      </c>
      <c r="E97" s="46" t="s">
        <v>10</v>
      </c>
      <c r="F97" s="46"/>
      <c r="G97" s="130">
        <f>G100+G98</f>
        <v>7434.5</v>
      </c>
      <c r="H97" s="119"/>
    </row>
    <row r="98" spans="1:8" s="12" customFormat="1" ht="47.25">
      <c r="A98" s="120"/>
      <c r="B98" s="48" t="s">
        <v>416</v>
      </c>
      <c r="C98" s="46" t="s">
        <v>60</v>
      </c>
      <c r="D98" s="46" t="s">
        <v>41</v>
      </c>
      <c r="E98" s="46" t="s">
        <v>151</v>
      </c>
      <c r="F98" s="46"/>
      <c r="G98" s="130">
        <f>G99</f>
        <v>1034.5</v>
      </c>
      <c r="H98" s="119"/>
    </row>
    <row r="99" spans="1:8" s="12" customFormat="1" ht="15.75">
      <c r="A99" s="120"/>
      <c r="B99" s="48" t="s">
        <v>18</v>
      </c>
      <c r="C99" s="46" t="s">
        <v>60</v>
      </c>
      <c r="D99" s="46" t="s">
        <v>41</v>
      </c>
      <c r="E99" s="81" t="s">
        <v>151</v>
      </c>
      <c r="F99" s="46" t="s">
        <v>19</v>
      </c>
      <c r="G99" s="130">
        <v>1034.5</v>
      </c>
      <c r="H99" s="119"/>
    </row>
    <row r="100" spans="1:8" s="12" customFormat="1" ht="31.5">
      <c r="A100" s="120"/>
      <c r="B100" s="48" t="s">
        <v>267</v>
      </c>
      <c r="C100" s="46" t="s">
        <v>60</v>
      </c>
      <c r="D100" s="46" t="s">
        <v>41</v>
      </c>
      <c r="E100" s="46" t="s">
        <v>266</v>
      </c>
      <c r="F100" s="46"/>
      <c r="G100" s="130">
        <f>G101</f>
        <v>6400</v>
      </c>
      <c r="H100" s="50"/>
    </row>
    <row r="101" spans="1:8" s="12" customFormat="1" ht="15.75">
      <c r="A101" s="120"/>
      <c r="B101" s="48" t="s">
        <v>61</v>
      </c>
      <c r="C101" s="46" t="s">
        <v>60</v>
      </c>
      <c r="D101" s="46" t="s">
        <v>41</v>
      </c>
      <c r="E101" s="46" t="s">
        <v>266</v>
      </c>
      <c r="F101" s="46" t="s">
        <v>62</v>
      </c>
      <c r="G101" s="130">
        <f>6060+309+31</f>
        <v>6400</v>
      </c>
      <c r="H101" s="50"/>
    </row>
    <row r="102" spans="1:8" s="12" customFormat="1" ht="15.75">
      <c r="A102" s="120"/>
      <c r="B102" s="79" t="s">
        <v>153</v>
      </c>
      <c r="C102" s="46" t="s">
        <v>60</v>
      </c>
      <c r="D102" s="80" t="s">
        <v>154</v>
      </c>
      <c r="E102" s="81"/>
      <c r="F102" s="80"/>
      <c r="G102" s="130">
        <f>G103</f>
        <v>1200</v>
      </c>
      <c r="H102" s="50"/>
    </row>
    <row r="103" spans="1:8" s="12" customFormat="1" ht="31.5">
      <c r="A103" s="120"/>
      <c r="B103" s="87" t="s">
        <v>258</v>
      </c>
      <c r="C103" s="46" t="s">
        <v>60</v>
      </c>
      <c r="D103" s="80" t="s">
        <v>259</v>
      </c>
      <c r="E103" s="81"/>
      <c r="F103" s="80"/>
      <c r="G103" s="130">
        <f>G104</f>
        <v>1200</v>
      </c>
      <c r="H103" s="50"/>
    </row>
    <row r="104" spans="1:8" s="12" customFormat="1" ht="31.5">
      <c r="A104" s="120"/>
      <c r="B104" s="87" t="s">
        <v>216</v>
      </c>
      <c r="C104" s="46" t="s">
        <v>60</v>
      </c>
      <c r="D104" s="80" t="s">
        <v>259</v>
      </c>
      <c r="E104" s="81" t="s">
        <v>155</v>
      </c>
      <c r="F104" s="80"/>
      <c r="G104" s="130">
        <f>G105</f>
        <v>1200</v>
      </c>
      <c r="H104" s="50"/>
    </row>
    <row r="105" spans="1:8" s="12" customFormat="1" ht="78.75">
      <c r="A105" s="120"/>
      <c r="B105" s="87" t="s">
        <v>156</v>
      </c>
      <c r="C105" s="46" t="s">
        <v>60</v>
      </c>
      <c r="D105" s="80" t="s">
        <v>259</v>
      </c>
      <c r="E105" s="81" t="s">
        <v>157</v>
      </c>
      <c r="F105" s="80"/>
      <c r="G105" s="130">
        <f>G106</f>
        <v>1200</v>
      </c>
      <c r="H105" s="50"/>
    </row>
    <row r="106" spans="1:8" s="12" customFormat="1" ht="15.75">
      <c r="A106" s="120"/>
      <c r="B106" s="79" t="s">
        <v>61</v>
      </c>
      <c r="C106" s="80" t="s">
        <v>60</v>
      </c>
      <c r="D106" s="80" t="s">
        <v>259</v>
      </c>
      <c r="E106" s="81" t="s">
        <v>157</v>
      </c>
      <c r="F106" s="80" t="s">
        <v>62</v>
      </c>
      <c r="G106" s="130">
        <v>1200</v>
      </c>
      <c r="H106" s="50"/>
    </row>
    <row r="107" spans="1:8" s="12" customFormat="1" ht="15.75">
      <c r="A107" s="120"/>
      <c r="B107" s="44" t="s">
        <v>63</v>
      </c>
      <c r="C107" s="46" t="s">
        <v>60</v>
      </c>
      <c r="D107" s="46" t="s">
        <v>64</v>
      </c>
      <c r="E107" s="46"/>
      <c r="F107" s="46"/>
      <c r="G107" s="130">
        <f>G108+G116+G140</f>
        <v>74968.075</v>
      </c>
      <c r="H107" s="50"/>
    </row>
    <row r="108" spans="1:8" s="12" customFormat="1" ht="15.75">
      <c r="A108" s="120"/>
      <c r="B108" s="44" t="s">
        <v>218</v>
      </c>
      <c r="C108" s="45" t="s">
        <v>60</v>
      </c>
      <c r="D108" s="45" t="s">
        <v>217</v>
      </c>
      <c r="E108" s="46"/>
      <c r="F108" s="45"/>
      <c r="G108" s="130">
        <f>G109</f>
        <v>5247</v>
      </c>
      <c r="H108" s="50"/>
    </row>
    <row r="109" spans="1:8" s="12" customFormat="1" ht="31.5">
      <c r="A109" s="120"/>
      <c r="B109" s="44" t="s">
        <v>256</v>
      </c>
      <c r="C109" s="45" t="s">
        <v>60</v>
      </c>
      <c r="D109" s="45" t="s">
        <v>217</v>
      </c>
      <c r="E109" s="46" t="s">
        <v>102</v>
      </c>
      <c r="F109" s="63"/>
      <c r="G109" s="130">
        <f>G110</f>
        <v>5247</v>
      </c>
      <c r="H109" s="50"/>
    </row>
    <row r="110" spans="1:8" s="12" customFormat="1" ht="31.5">
      <c r="A110" s="120"/>
      <c r="B110" s="60" t="s">
        <v>210</v>
      </c>
      <c r="C110" s="45" t="s">
        <v>60</v>
      </c>
      <c r="D110" s="45" t="s">
        <v>217</v>
      </c>
      <c r="E110" s="46" t="s">
        <v>211</v>
      </c>
      <c r="F110" s="63"/>
      <c r="G110" s="130">
        <f>G111+G113</f>
        <v>5247</v>
      </c>
      <c r="H110" s="50"/>
    </row>
    <row r="111" spans="1:8" s="12" customFormat="1" ht="47.25">
      <c r="A111" s="120"/>
      <c r="B111" s="60" t="s">
        <v>244</v>
      </c>
      <c r="C111" s="45" t="s">
        <v>60</v>
      </c>
      <c r="D111" s="45" t="s">
        <v>217</v>
      </c>
      <c r="E111" s="46" t="s">
        <v>245</v>
      </c>
      <c r="F111" s="149"/>
      <c r="G111" s="130">
        <f>G112</f>
        <v>160</v>
      </c>
      <c r="H111" s="50"/>
    </row>
    <row r="112" spans="1:8" s="12" customFormat="1" ht="15.75">
      <c r="A112" s="120"/>
      <c r="B112" s="44" t="s">
        <v>18</v>
      </c>
      <c r="C112" s="45" t="s">
        <v>60</v>
      </c>
      <c r="D112" s="45" t="s">
        <v>217</v>
      </c>
      <c r="E112" s="46" t="s">
        <v>245</v>
      </c>
      <c r="F112" s="63" t="s">
        <v>19</v>
      </c>
      <c r="G112" s="130">
        <f>184.96-24.96</f>
        <v>160</v>
      </c>
      <c r="H112" s="50"/>
    </row>
    <row r="113" spans="1:8" s="12" customFormat="1" ht="47.25">
      <c r="A113" s="120"/>
      <c r="B113" s="60" t="s">
        <v>243</v>
      </c>
      <c r="C113" s="45" t="s">
        <v>60</v>
      </c>
      <c r="D113" s="45" t="s">
        <v>217</v>
      </c>
      <c r="E113" s="46" t="s">
        <v>297</v>
      </c>
      <c r="F113" s="149"/>
      <c r="G113" s="130">
        <f>G114</f>
        <v>5087</v>
      </c>
      <c r="H113" s="124"/>
    </row>
    <row r="114" spans="1:8" s="12" customFormat="1" ht="15.75">
      <c r="A114" s="120"/>
      <c r="B114" s="44" t="s">
        <v>18</v>
      </c>
      <c r="C114" s="45" t="s">
        <v>60</v>
      </c>
      <c r="D114" s="45" t="s">
        <v>217</v>
      </c>
      <c r="E114" s="46" t="s">
        <v>297</v>
      </c>
      <c r="F114" s="63" t="s">
        <v>19</v>
      </c>
      <c r="G114" s="130">
        <v>5087</v>
      </c>
      <c r="H114" s="127"/>
    </row>
    <row r="115" spans="1:8" s="12" customFormat="1" ht="15.75">
      <c r="A115" s="120"/>
      <c r="B115" s="139" t="s">
        <v>356</v>
      </c>
      <c r="C115" s="45"/>
      <c r="D115" s="45"/>
      <c r="E115" s="46"/>
      <c r="F115" s="63"/>
      <c r="G115" s="164">
        <f>800+15.71948+2747.2688</f>
        <v>3562.9882799999996</v>
      </c>
      <c r="H115" s="127"/>
    </row>
    <row r="116" spans="1:8" s="10" customFormat="1" ht="15.75">
      <c r="A116" s="51"/>
      <c r="B116" s="44" t="s">
        <v>65</v>
      </c>
      <c r="C116" s="45" t="s">
        <v>60</v>
      </c>
      <c r="D116" s="45" t="s">
        <v>66</v>
      </c>
      <c r="E116" s="46"/>
      <c r="F116" s="45"/>
      <c r="G116" s="130">
        <f>G117+G126</f>
        <v>66621.075</v>
      </c>
      <c r="H116" s="62"/>
    </row>
    <row r="117" spans="1:11" s="10" customFormat="1" ht="31.5" customHeight="1">
      <c r="A117" s="51"/>
      <c r="B117" s="44" t="s">
        <v>191</v>
      </c>
      <c r="C117" s="45" t="s">
        <v>60</v>
      </c>
      <c r="D117" s="45" t="s">
        <v>66</v>
      </c>
      <c r="E117" s="46" t="s">
        <v>67</v>
      </c>
      <c r="F117" s="63"/>
      <c r="G117" s="130">
        <f>G118</f>
        <v>34366.13147</v>
      </c>
      <c r="H117" s="52"/>
      <c r="I117" s="11"/>
      <c r="J117" s="11"/>
      <c r="K117" s="11"/>
    </row>
    <row r="118" spans="1:11" s="10" customFormat="1" ht="15.75" customHeight="1">
      <c r="A118" s="51"/>
      <c r="B118" s="60" t="s">
        <v>126</v>
      </c>
      <c r="C118" s="45" t="s">
        <v>60</v>
      </c>
      <c r="D118" s="45" t="s">
        <v>66</v>
      </c>
      <c r="E118" s="46" t="s">
        <v>68</v>
      </c>
      <c r="F118" s="63"/>
      <c r="G118" s="130">
        <f>G122+G119</f>
        <v>34366.13147</v>
      </c>
      <c r="H118" s="52"/>
      <c r="I118" s="11"/>
      <c r="J118" s="11"/>
      <c r="K118" s="11"/>
    </row>
    <row r="119" spans="1:11" s="10" customFormat="1" ht="63">
      <c r="A119" s="51"/>
      <c r="B119" s="60" t="s">
        <v>269</v>
      </c>
      <c r="C119" s="45" t="s">
        <v>60</v>
      </c>
      <c r="D119" s="45" t="s">
        <v>66</v>
      </c>
      <c r="E119" s="46" t="s">
        <v>268</v>
      </c>
      <c r="F119" s="63"/>
      <c r="G119" s="130">
        <f>G120+G121</f>
        <v>28000</v>
      </c>
      <c r="H119" s="52"/>
      <c r="I119" s="11"/>
      <c r="J119" s="11"/>
      <c r="K119" s="11"/>
    </row>
    <row r="120" spans="1:11" s="10" customFormat="1" ht="15.75" customHeight="1">
      <c r="A120" s="51"/>
      <c r="B120" s="60" t="s">
        <v>18</v>
      </c>
      <c r="C120" s="45" t="s">
        <v>60</v>
      </c>
      <c r="D120" s="45" t="s">
        <v>66</v>
      </c>
      <c r="E120" s="46" t="s">
        <v>268</v>
      </c>
      <c r="F120" s="63" t="s">
        <v>19</v>
      </c>
      <c r="G120" s="130">
        <f>23900-92.87104-472.74407</f>
        <v>23334.38489</v>
      </c>
      <c r="H120" s="59"/>
      <c r="I120" s="11"/>
      <c r="J120" s="11"/>
      <c r="K120" s="11"/>
    </row>
    <row r="121" spans="1:11" s="10" customFormat="1" ht="15.75" customHeight="1">
      <c r="A121" s="51"/>
      <c r="B121" s="44" t="s">
        <v>20</v>
      </c>
      <c r="C121" s="45" t="s">
        <v>60</v>
      </c>
      <c r="D121" s="45" t="s">
        <v>66</v>
      </c>
      <c r="E121" s="46" t="s">
        <v>268</v>
      </c>
      <c r="F121" s="63" t="s">
        <v>21</v>
      </c>
      <c r="G121" s="130">
        <f>4192.87104+472.74407</f>
        <v>4665.61511</v>
      </c>
      <c r="H121" s="59"/>
      <c r="I121" s="11"/>
      <c r="J121" s="11"/>
      <c r="K121" s="11"/>
    </row>
    <row r="122" spans="1:11" s="10" customFormat="1" ht="78.75">
      <c r="A122" s="51"/>
      <c r="B122" s="60" t="s">
        <v>303</v>
      </c>
      <c r="C122" s="45" t="s">
        <v>60</v>
      </c>
      <c r="D122" s="45" t="s">
        <v>66</v>
      </c>
      <c r="E122" s="46" t="s">
        <v>298</v>
      </c>
      <c r="F122" s="150"/>
      <c r="G122" s="130">
        <f>G123+G125</f>
        <v>6366.13147</v>
      </c>
      <c r="H122" s="125"/>
      <c r="I122" s="71"/>
      <c r="J122" s="71"/>
      <c r="K122" s="11"/>
    </row>
    <row r="123" spans="1:11" s="13" customFormat="1" ht="15.75" customHeight="1">
      <c r="A123" s="51"/>
      <c r="B123" s="60" t="s">
        <v>18</v>
      </c>
      <c r="C123" s="45" t="s">
        <v>60</v>
      </c>
      <c r="D123" s="45" t="s">
        <v>66</v>
      </c>
      <c r="E123" s="46" t="s">
        <v>298</v>
      </c>
      <c r="F123" s="63" t="s">
        <v>19</v>
      </c>
      <c r="G123" s="130">
        <v>5109.16698</v>
      </c>
      <c r="H123" s="65"/>
      <c r="I123" s="65"/>
      <c r="J123" s="71"/>
      <c r="K123" s="11"/>
    </row>
    <row r="124" spans="1:11" s="13" customFormat="1" ht="15.75" customHeight="1">
      <c r="A124" s="51"/>
      <c r="B124" s="139" t="s">
        <v>356</v>
      </c>
      <c r="C124" s="45"/>
      <c r="D124" s="45"/>
      <c r="E124" s="46"/>
      <c r="F124" s="63"/>
      <c r="G124" s="164">
        <v>4796.27039</v>
      </c>
      <c r="H124" s="65"/>
      <c r="I124" s="65"/>
      <c r="J124" s="71"/>
      <c r="K124" s="11"/>
    </row>
    <row r="125" spans="1:11" s="13" customFormat="1" ht="15.75" customHeight="1">
      <c r="A125" s="51"/>
      <c r="B125" s="44" t="s">
        <v>20</v>
      </c>
      <c r="C125" s="45" t="s">
        <v>60</v>
      </c>
      <c r="D125" s="45" t="s">
        <v>66</v>
      </c>
      <c r="E125" s="46" t="s">
        <v>298</v>
      </c>
      <c r="F125" s="63" t="s">
        <v>21</v>
      </c>
      <c r="G125" s="130">
        <f>465.87456+791.08993</f>
        <v>1256.9644899999998</v>
      </c>
      <c r="H125" s="65"/>
      <c r="I125" s="65"/>
      <c r="J125" s="71"/>
      <c r="K125" s="11"/>
    </row>
    <row r="126" spans="1:11" s="13" customFormat="1" ht="15.75">
      <c r="A126" s="51"/>
      <c r="B126" s="44" t="s">
        <v>261</v>
      </c>
      <c r="C126" s="45" t="s">
        <v>60</v>
      </c>
      <c r="D126" s="45" t="s">
        <v>66</v>
      </c>
      <c r="E126" s="46" t="s">
        <v>104</v>
      </c>
      <c r="F126" s="63"/>
      <c r="G126" s="130">
        <f>G127</f>
        <v>32254.943529999997</v>
      </c>
      <c r="H126" s="65"/>
      <c r="I126" s="65"/>
      <c r="J126" s="71"/>
      <c r="K126" s="11"/>
    </row>
    <row r="127" spans="1:11" s="13" customFormat="1" ht="15.75">
      <c r="A127" s="51"/>
      <c r="B127" s="44" t="s">
        <v>238</v>
      </c>
      <c r="C127" s="45" t="s">
        <v>60</v>
      </c>
      <c r="D127" s="45" t="s">
        <v>66</v>
      </c>
      <c r="E127" s="46" t="s">
        <v>105</v>
      </c>
      <c r="F127" s="63"/>
      <c r="G127" s="130">
        <f>G128+G131+G136+G138</f>
        <v>32254.943529999997</v>
      </c>
      <c r="H127" s="65"/>
      <c r="I127" s="65"/>
      <c r="J127" s="71"/>
      <c r="K127" s="11"/>
    </row>
    <row r="128" spans="1:11" s="13" customFormat="1" ht="63">
      <c r="A128" s="51"/>
      <c r="B128" s="60" t="s">
        <v>106</v>
      </c>
      <c r="C128" s="45" t="s">
        <v>60</v>
      </c>
      <c r="D128" s="45" t="s">
        <v>66</v>
      </c>
      <c r="E128" s="46" t="s">
        <v>270</v>
      </c>
      <c r="F128" s="150"/>
      <c r="G128" s="130">
        <f>G129+G130</f>
        <v>6000</v>
      </c>
      <c r="H128" s="65"/>
      <c r="I128" s="65"/>
      <c r="J128" s="71"/>
      <c r="K128" s="11"/>
    </row>
    <row r="129" spans="1:11" s="13" customFormat="1" ht="15.75">
      <c r="A129" s="51"/>
      <c r="B129" s="44" t="s">
        <v>18</v>
      </c>
      <c r="C129" s="45" t="s">
        <v>60</v>
      </c>
      <c r="D129" s="45" t="s">
        <v>66</v>
      </c>
      <c r="E129" s="46" t="s">
        <v>270</v>
      </c>
      <c r="F129" s="63" t="s">
        <v>19</v>
      </c>
      <c r="G129" s="130">
        <v>1658.42895</v>
      </c>
      <c r="H129" s="65"/>
      <c r="I129" s="65"/>
      <c r="J129" s="71"/>
      <c r="K129" s="11"/>
    </row>
    <row r="130" spans="1:11" s="13" customFormat="1" ht="15.75">
      <c r="A130" s="51"/>
      <c r="B130" s="44" t="s">
        <v>61</v>
      </c>
      <c r="C130" s="45" t="s">
        <v>60</v>
      </c>
      <c r="D130" s="45" t="s">
        <v>66</v>
      </c>
      <c r="E130" s="46" t="s">
        <v>270</v>
      </c>
      <c r="F130" s="63" t="s">
        <v>62</v>
      </c>
      <c r="G130" s="130">
        <v>4341.57105</v>
      </c>
      <c r="H130" s="65"/>
      <c r="I130" s="65"/>
      <c r="J130" s="71"/>
      <c r="K130" s="11"/>
    </row>
    <row r="131" spans="1:11" s="13" customFormat="1" ht="63">
      <c r="A131" s="51"/>
      <c r="B131" s="60" t="s">
        <v>107</v>
      </c>
      <c r="C131" s="45" t="s">
        <v>60</v>
      </c>
      <c r="D131" s="45" t="s">
        <v>66</v>
      </c>
      <c r="E131" s="46" t="s">
        <v>299</v>
      </c>
      <c r="F131" s="150"/>
      <c r="G131" s="130">
        <f>G132+G134</f>
        <v>2239.13353</v>
      </c>
      <c r="H131" s="65"/>
      <c r="I131" s="65"/>
      <c r="J131" s="71"/>
      <c r="K131" s="11"/>
    </row>
    <row r="132" spans="1:11" s="13" customFormat="1" ht="15.75">
      <c r="A132" s="51"/>
      <c r="B132" s="44" t="s">
        <v>18</v>
      </c>
      <c r="C132" s="45" t="s">
        <v>60</v>
      </c>
      <c r="D132" s="45" t="s">
        <v>66</v>
      </c>
      <c r="E132" s="46" t="s">
        <v>299</v>
      </c>
      <c r="F132" s="63" t="s">
        <v>19</v>
      </c>
      <c r="G132" s="130">
        <v>1531.13507</v>
      </c>
      <c r="H132" s="123"/>
      <c r="I132" s="65"/>
      <c r="J132" s="71"/>
      <c r="K132" s="11"/>
    </row>
    <row r="133" spans="1:11" s="13" customFormat="1" ht="15.75">
      <c r="A133" s="51"/>
      <c r="B133" s="139" t="s">
        <v>356</v>
      </c>
      <c r="C133" s="45"/>
      <c r="D133" s="45"/>
      <c r="E133" s="46"/>
      <c r="F133" s="63"/>
      <c r="G133" s="164">
        <v>508.8446</v>
      </c>
      <c r="H133" s="123"/>
      <c r="I133" s="65"/>
      <c r="J133" s="71"/>
      <c r="K133" s="11"/>
    </row>
    <row r="134" spans="1:11" s="13" customFormat="1" ht="15.75">
      <c r="A134" s="51"/>
      <c r="B134" s="44" t="s">
        <v>61</v>
      </c>
      <c r="C134" s="45" t="s">
        <v>60</v>
      </c>
      <c r="D134" s="45" t="s">
        <v>66</v>
      </c>
      <c r="E134" s="46" t="s">
        <v>299</v>
      </c>
      <c r="F134" s="63" t="s">
        <v>62</v>
      </c>
      <c r="G134" s="130">
        <v>707.99846</v>
      </c>
      <c r="H134" s="123"/>
      <c r="I134" s="65"/>
      <c r="J134" s="71"/>
      <c r="K134" s="11"/>
    </row>
    <row r="135" spans="1:11" s="13" customFormat="1" ht="15.75">
      <c r="A135" s="51"/>
      <c r="B135" s="139" t="s">
        <v>356</v>
      </c>
      <c r="C135" s="45"/>
      <c r="D135" s="45"/>
      <c r="E135" s="46"/>
      <c r="F135" s="63"/>
      <c r="G135" s="164">
        <f>1000-866.1506</f>
        <v>133.84939999999995</v>
      </c>
      <c r="H135" s="123"/>
      <c r="I135" s="65"/>
      <c r="J135" s="71"/>
      <c r="K135" s="11"/>
    </row>
    <row r="136" spans="1:11" s="13" customFormat="1" ht="58.5" customHeight="1">
      <c r="A136" s="51"/>
      <c r="B136" s="139" t="s">
        <v>419</v>
      </c>
      <c r="C136" s="45" t="s">
        <v>60</v>
      </c>
      <c r="D136" s="45" t="s">
        <v>66</v>
      </c>
      <c r="E136" s="46" t="s">
        <v>418</v>
      </c>
      <c r="F136" s="63"/>
      <c r="G136" s="130">
        <f>G137</f>
        <v>21614.229</v>
      </c>
      <c r="H136" s="123"/>
      <c r="I136" s="65"/>
      <c r="J136" s="71"/>
      <c r="K136" s="11"/>
    </row>
    <row r="137" spans="1:11" s="13" customFormat="1" ht="15.75">
      <c r="A137" s="51"/>
      <c r="B137" s="44" t="s">
        <v>18</v>
      </c>
      <c r="C137" s="45" t="s">
        <v>60</v>
      </c>
      <c r="D137" s="45" t="s">
        <v>66</v>
      </c>
      <c r="E137" s="81" t="s">
        <v>418</v>
      </c>
      <c r="F137" s="63" t="s">
        <v>19</v>
      </c>
      <c r="G137" s="130">
        <v>21614.229</v>
      </c>
      <c r="H137" s="123"/>
      <c r="I137" s="65"/>
      <c r="J137" s="71"/>
      <c r="K137" s="11"/>
    </row>
    <row r="138" spans="1:11" s="13" customFormat="1" ht="63">
      <c r="A138" s="51"/>
      <c r="B138" s="60" t="s">
        <v>422</v>
      </c>
      <c r="C138" s="45" t="s">
        <v>60</v>
      </c>
      <c r="D138" s="45" t="s">
        <v>66</v>
      </c>
      <c r="E138" s="81" t="s">
        <v>420</v>
      </c>
      <c r="F138" s="63"/>
      <c r="G138" s="130">
        <f>G139</f>
        <v>2401.581</v>
      </c>
      <c r="H138" s="123"/>
      <c r="I138" s="65"/>
      <c r="J138" s="71"/>
      <c r="K138" s="11"/>
    </row>
    <row r="139" spans="1:11" s="13" customFormat="1" ht="15.75">
      <c r="A139" s="51"/>
      <c r="B139" s="44" t="s">
        <v>18</v>
      </c>
      <c r="C139" s="45" t="s">
        <v>60</v>
      </c>
      <c r="D139" s="45" t="s">
        <v>66</v>
      </c>
      <c r="E139" s="46" t="s">
        <v>420</v>
      </c>
      <c r="F139" s="63" t="s">
        <v>19</v>
      </c>
      <c r="G139" s="130">
        <v>2401.581</v>
      </c>
      <c r="H139" s="123"/>
      <c r="I139" s="65"/>
      <c r="J139" s="71"/>
      <c r="K139" s="11"/>
    </row>
    <row r="140" spans="1:8" s="10" customFormat="1" ht="15.75">
      <c r="A140" s="51"/>
      <c r="B140" s="44" t="s">
        <v>221</v>
      </c>
      <c r="C140" s="45" t="s">
        <v>60</v>
      </c>
      <c r="D140" s="45" t="s">
        <v>220</v>
      </c>
      <c r="E140" s="46"/>
      <c r="F140" s="45"/>
      <c r="G140" s="130">
        <f>G141</f>
        <v>3100</v>
      </c>
      <c r="H140" s="62"/>
    </row>
    <row r="141" spans="1:11" s="10" customFormat="1" ht="31.5" customHeight="1">
      <c r="A141" s="51"/>
      <c r="B141" s="44" t="s">
        <v>240</v>
      </c>
      <c r="C141" s="45" t="s">
        <v>60</v>
      </c>
      <c r="D141" s="45" t="s">
        <v>220</v>
      </c>
      <c r="E141" s="46" t="s">
        <v>79</v>
      </c>
      <c r="F141" s="63"/>
      <c r="G141" s="130">
        <f>G142</f>
        <v>3100</v>
      </c>
      <c r="H141" s="52"/>
      <c r="I141" s="11"/>
      <c r="J141" s="11"/>
      <c r="K141" s="11"/>
    </row>
    <row r="142" spans="1:8" s="15" customFormat="1" ht="31.5">
      <c r="A142" s="61"/>
      <c r="B142" s="69" t="s">
        <v>223</v>
      </c>
      <c r="C142" s="45" t="s">
        <v>60</v>
      </c>
      <c r="D142" s="45" t="s">
        <v>220</v>
      </c>
      <c r="E142" s="46" t="s">
        <v>80</v>
      </c>
      <c r="F142" s="45"/>
      <c r="G142" s="130">
        <f>G143+G145</f>
        <v>3100</v>
      </c>
      <c r="H142" s="52"/>
    </row>
    <row r="143" spans="1:11" s="10" customFormat="1" ht="80.25" customHeight="1">
      <c r="A143" s="51"/>
      <c r="B143" s="60" t="s">
        <v>225</v>
      </c>
      <c r="C143" s="45" t="s">
        <v>60</v>
      </c>
      <c r="D143" s="45" t="s">
        <v>220</v>
      </c>
      <c r="E143" s="46" t="s">
        <v>226</v>
      </c>
      <c r="F143" s="63"/>
      <c r="G143" s="130">
        <f>G144</f>
        <v>3038</v>
      </c>
      <c r="H143" s="52"/>
      <c r="I143" s="11"/>
      <c r="J143" s="11"/>
      <c r="K143" s="11"/>
    </row>
    <row r="144" spans="1:11" s="10" customFormat="1" ht="15.75" customHeight="1">
      <c r="A144" s="51"/>
      <c r="B144" s="44" t="s">
        <v>18</v>
      </c>
      <c r="C144" s="45" t="s">
        <v>60</v>
      </c>
      <c r="D144" s="45" t="s">
        <v>220</v>
      </c>
      <c r="E144" s="46" t="s">
        <v>226</v>
      </c>
      <c r="F144" s="63" t="s">
        <v>19</v>
      </c>
      <c r="G144" s="130">
        <v>3038</v>
      </c>
      <c r="H144" s="52"/>
      <c r="I144" s="11"/>
      <c r="J144" s="11"/>
      <c r="K144" s="11"/>
    </row>
    <row r="145" spans="1:11" s="10" customFormat="1" ht="62.25" customHeight="1">
      <c r="A145" s="51"/>
      <c r="B145" s="60" t="s">
        <v>246</v>
      </c>
      <c r="C145" s="45" t="s">
        <v>60</v>
      </c>
      <c r="D145" s="45" t="s">
        <v>220</v>
      </c>
      <c r="E145" s="46" t="s">
        <v>300</v>
      </c>
      <c r="F145" s="150"/>
      <c r="G145" s="130">
        <f>G146</f>
        <v>62</v>
      </c>
      <c r="H145" s="125"/>
      <c r="I145" s="71"/>
      <c r="J145" s="71"/>
      <c r="K145" s="11"/>
    </row>
    <row r="146" spans="1:11" s="13" customFormat="1" ht="15.75" customHeight="1">
      <c r="A146" s="51"/>
      <c r="B146" s="60" t="s">
        <v>18</v>
      </c>
      <c r="C146" s="45" t="s">
        <v>60</v>
      </c>
      <c r="D146" s="45" t="s">
        <v>220</v>
      </c>
      <c r="E146" s="46" t="s">
        <v>300</v>
      </c>
      <c r="F146" s="63" t="s">
        <v>19</v>
      </c>
      <c r="G146" s="130">
        <v>62</v>
      </c>
      <c r="H146" s="65"/>
      <c r="I146" s="65"/>
      <c r="J146" s="71"/>
      <c r="K146" s="11"/>
    </row>
    <row r="147" spans="1:10" s="10" customFormat="1" ht="15.75">
      <c r="A147" s="51"/>
      <c r="B147" s="44" t="s">
        <v>69</v>
      </c>
      <c r="C147" s="45" t="s">
        <v>60</v>
      </c>
      <c r="D147" s="45" t="s">
        <v>70</v>
      </c>
      <c r="E147" s="46"/>
      <c r="F147" s="63"/>
      <c r="G147" s="130">
        <f>G148+G160+G171+G223</f>
        <v>410891.47038</v>
      </c>
      <c r="H147" s="66"/>
      <c r="I147" s="72"/>
      <c r="J147" s="72"/>
    </row>
    <row r="148" spans="1:10" s="10" customFormat="1" ht="15.75">
      <c r="A148" s="51"/>
      <c r="B148" s="44" t="s">
        <v>71</v>
      </c>
      <c r="C148" s="45" t="s">
        <v>60</v>
      </c>
      <c r="D148" s="45" t="s">
        <v>72</v>
      </c>
      <c r="E148" s="46"/>
      <c r="F148" s="63"/>
      <c r="G148" s="130">
        <f>G149+G152+G156</f>
        <v>6793.9275</v>
      </c>
      <c r="H148" s="66"/>
      <c r="I148" s="72"/>
      <c r="J148" s="72"/>
    </row>
    <row r="149" spans="1:8" s="13" customFormat="1" ht="31.5">
      <c r="A149" s="51"/>
      <c r="B149" s="44" t="s">
        <v>231</v>
      </c>
      <c r="C149" s="45" t="s">
        <v>60</v>
      </c>
      <c r="D149" s="45" t="s">
        <v>72</v>
      </c>
      <c r="E149" s="46" t="s">
        <v>73</v>
      </c>
      <c r="F149" s="63"/>
      <c r="G149" s="130">
        <f>G150</f>
        <v>1109.812</v>
      </c>
      <c r="H149" s="67"/>
    </row>
    <row r="150" spans="1:8" s="13" customFormat="1" ht="63">
      <c r="A150" s="51"/>
      <c r="B150" s="60" t="s">
        <v>74</v>
      </c>
      <c r="C150" s="45" t="s">
        <v>60</v>
      </c>
      <c r="D150" s="45" t="s">
        <v>72</v>
      </c>
      <c r="E150" s="46" t="s">
        <v>75</v>
      </c>
      <c r="F150" s="63"/>
      <c r="G150" s="130">
        <f>G151</f>
        <v>1109.812</v>
      </c>
      <c r="H150" s="67"/>
    </row>
    <row r="151" spans="1:8" s="16" customFormat="1" ht="15.75">
      <c r="A151" s="58"/>
      <c r="B151" s="44" t="s">
        <v>18</v>
      </c>
      <c r="C151" s="45" t="s">
        <v>60</v>
      </c>
      <c r="D151" s="45" t="s">
        <v>72</v>
      </c>
      <c r="E151" s="46" t="s">
        <v>75</v>
      </c>
      <c r="F151" s="45" t="s">
        <v>19</v>
      </c>
      <c r="G151" s="130">
        <f>1000+109.812</f>
        <v>1109.812</v>
      </c>
      <c r="H151" s="68"/>
    </row>
    <row r="152" spans="1:8" s="16" customFormat="1" ht="31.5">
      <c r="A152" s="58"/>
      <c r="B152" s="60" t="s">
        <v>185</v>
      </c>
      <c r="C152" s="45" t="s">
        <v>60</v>
      </c>
      <c r="D152" s="45" t="s">
        <v>72</v>
      </c>
      <c r="E152" s="46" t="s">
        <v>117</v>
      </c>
      <c r="F152" s="45"/>
      <c r="G152" s="130">
        <f>G153</f>
        <v>5232.0095</v>
      </c>
      <c r="H152" s="68"/>
    </row>
    <row r="153" spans="1:8" s="16" customFormat="1" ht="31.5">
      <c r="A153" s="58"/>
      <c r="B153" s="60" t="s">
        <v>186</v>
      </c>
      <c r="C153" s="45" t="s">
        <v>60</v>
      </c>
      <c r="D153" s="45" t="s">
        <v>72</v>
      </c>
      <c r="E153" s="46" t="s">
        <v>187</v>
      </c>
      <c r="F153" s="45"/>
      <c r="G153" s="130">
        <f>G154</f>
        <v>5232.0095</v>
      </c>
      <c r="H153" s="68"/>
    </row>
    <row r="154" spans="1:8" s="16" customFormat="1" ht="47.25">
      <c r="A154" s="58"/>
      <c r="B154" s="60" t="s">
        <v>286</v>
      </c>
      <c r="C154" s="45" t="s">
        <v>60</v>
      </c>
      <c r="D154" s="45" t="s">
        <v>72</v>
      </c>
      <c r="E154" s="46" t="s">
        <v>285</v>
      </c>
      <c r="F154" s="45"/>
      <c r="G154" s="130">
        <f>G155</f>
        <v>5232.0095</v>
      </c>
      <c r="H154" s="68"/>
    </row>
    <row r="155" spans="1:8" s="16" customFormat="1" ht="15.75">
      <c r="A155" s="58"/>
      <c r="B155" s="44" t="s">
        <v>18</v>
      </c>
      <c r="C155" s="45" t="s">
        <v>60</v>
      </c>
      <c r="D155" s="45" t="s">
        <v>72</v>
      </c>
      <c r="E155" s="46" t="s">
        <v>285</v>
      </c>
      <c r="F155" s="45" t="s">
        <v>19</v>
      </c>
      <c r="G155" s="130">
        <f>4050+1182.0095</f>
        <v>5232.0095</v>
      </c>
      <c r="H155" s="68"/>
    </row>
    <row r="156" spans="1:8" s="16" customFormat="1" ht="31.5">
      <c r="A156" s="58"/>
      <c r="B156" s="60" t="s">
        <v>394</v>
      </c>
      <c r="C156" s="45" t="s">
        <v>60</v>
      </c>
      <c r="D156" s="45" t="s">
        <v>72</v>
      </c>
      <c r="E156" s="46" t="s">
        <v>395</v>
      </c>
      <c r="F156" s="45"/>
      <c r="G156" s="130">
        <f>G157</f>
        <v>452.106</v>
      </c>
      <c r="H156" s="68"/>
    </row>
    <row r="157" spans="1:8" s="16" customFormat="1" ht="31.5">
      <c r="A157" s="58"/>
      <c r="B157" s="60" t="s">
        <v>396</v>
      </c>
      <c r="C157" s="45" t="s">
        <v>60</v>
      </c>
      <c r="D157" s="45" t="s">
        <v>72</v>
      </c>
      <c r="E157" s="46" t="s">
        <v>397</v>
      </c>
      <c r="F157" s="45"/>
      <c r="G157" s="130">
        <f>G158</f>
        <v>452.106</v>
      </c>
      <c r="H157" s="68"/>
    </row>
    <row r="158" spans="1:8" s="16" customFormat="1" ht="63">
      <c r="A158" s="58"/>
      <c r="B158" s="60" t="s">
        <v>398</v>
      </c>
      <c r="C158" s="45" t="s">
        <v>60</v>
      </c>
      <c r="D158" s="45" t="s">
        <v>72</v>
      </c>
      <c r="E158" s="46" t="s">
        <v>399</v>
      </c>
      <c r="F158" s="45"/>
      <c r="G158" s="130">
        <f>G159</f>
        <v>452.106</v>
      </c>
      <c r="H158" s="68"/>
    </row>
    <row r="159" spans="1:8" s="16" customFormat="1" ht="15.75">
      <c r="A159" s="58"/>
      <c r="B159" s="44" t="s">
        <v>18</v>
      </c>
      <c r="C159" s="45" t="s">
        <v>60</v>
      </c>
      <c r="D159" s="45" t="s">
        <v>72</v>
      </c>
      <c r="E159" s="46" t="s">
        <v>399</v>
      </c>
      <c r="F159" s="45" t="s">
        <v>19</v>
      </c>
      <c r="G159" s="130">
        <f>500+452.106-500</f>
        <v>452.106</v>
      </c>
      <c r="H159" s="68"/>
    </row>
    <row r="160" spans="1:8" s="18" customFormat="1" ht="15.75">
      <c r="A160" s="61"/>
      <c r="B160" s="44" t="s">
        <v>76</v>
      </c>
      <c r="C160" s="45" t="s">
        <v>60</v>
      </c>
      <c r="D160" s="45" t="s">
        <v>77</v>
      </c>
      <c r="E160" s="46"/>
      <c r="F160" s="45"/>
      <c r="G160" s="130">
        <f>G166+G161</f>
        <v>12891.204</v>
      </c>
      <c r="H160" s="47"/>
    </row>
    <row r="161" spans="1:8" s="18" customFormat="1" ht="31.5">
      <c r="A161" s="61"/>
      <c r="B161" s="44" t="s">
        <v>240</v>
      </c>
      <c r="C161" s="45" t="s">
        <v>60</v>
      </c>
      <c r="D161" s="45" t="s">
        <v>77</v>
      </c>
      <c r="E161" s="46" t="s">
        <v>79</v>
      </c>
      <c r="F161" s="45"/>
      <c r="G161" s="130">
        <f>G162</f>
        <v>500</v>
      </c>
      <c r="H161" s="47"/>
    </row>
    <row r="162" spans="1:8" s="18" customFormat="1" ht="31.5">
      <c r="A162" s="61"/>
      <c r="B162" s="69" t="s">
        <v>223</v>
      </c>
      <c r="C162" s="45" t="s">
        <v>60</v>
      </c>
      <c r="D162" s="45" t="s">
        <v>77</v>
      </c>
      <c r="E162" s="46" t="s">
        <v>80</v>
      </c>
      <c r="F162" s="45"/>
      <c r="G162" s="130">
        <f>G163</f>
        <v>500</v>
      </c>
      <c r="H162" s="47"/>
    </row>
    <row r="163" spans="1:8" s="18" customFormat="1" ht="63">
      <c r="A163" s="61"/>
      <c r="B163" s="60" t="s">
        <v>289</v>
      </c>
      <c r="C163" s="45" t="s">
        <v>60</v>
      </c>
      <c r="D163" s="45" t="s">
        <v>77</v>
      </c>
      <c r="E163" s="46" t="s">
        <v>82</v>
      </c>
      <c r="F163" s="45"/>
      <c r="G163" s="130">
        <f>G164</f>
        <v>500</v>
      </c>
      <c r="H163" s="47"/>
    </row>
    <row r="164" spans="1:8" s="18" customFormat="1" ht="15.75">
      <c r="A164" s="61"/>
      <c r="B164" s="44" t="s">
        <v>18</v>
      </c>
      <c r="C164" s="45" t="s">
        <v>60</v>
      </c>
      <c r="D164" s="45" t="s">
        <v>77</v>
      </c>
      <c r="E164" s="46" t="s">
        <v>82</v>
      </c>
      <c r="F164" s="45" t="s">
        <v>19</v>
      </c>
      <c r="G164" s="130">
        <f>500</f>
        <v>500</v>
      </c>
      <c r="H164" s="47"/>
    </row>
    <row r="165" spans="1:8" s="18" customFormat="1" ht="15.75">
      <c r="A165" s="61"/>
      <c r="B165" s="139" t="s">
        <v>412</v>
      </c>
      <c r="C165" s="45"/>
      <c r="D165" s="45"/>
      <c r="E165" s="46"/>
      <c r="F165" s="45"/>
      <c r="G165" s="164">
        <v>81.162</v>
      </c>
      <c r="H165" s="47"/>
    </row>
    <row r="166" spans="1:8" s="10" customFormat="1" ht="15.75">
      <c r="A166" s="51"/>
      <c r="B166" s="44" t="s">
        <v>78</v>
      </c>
      <c r="C166" s="45" t="s">
        <v>60</v>
      </c>
      <c r="D166" s="45" t="s">
        <v>77</v>
      </c>
      <c r="E166" s="46" t="s">
        <v>10</v>
      </c>
      <c r="F166" s="45"/>
      <c r="G166" s="130">
        <f>G169+G167</f>
        <v>12391.204</v>
      </c>
      <c r="H166" s="47"/>
    </row>
    <row r="167" spans="1:8" s="10" customFormat="1" ht="31.5">
      <c r="A167" s="51"/>
      <c r="B167" s="48" t="s">
        <v>108</v>
      </c>
      <c r="C167" s="45" t="s">
        <v>60</v>
      </c>
      <c r="D167" s="45" t="s">
        <v>77</v>
      </c>
      <c r="E167" s="46" t="s">
        <v>109</v>
      </c>
      <c r="F167" s="45"/>
      <c r="G167" s="130">
        <f>G168</f>
        <v>11476.204</v>
      </c>
      <c r="H167" s="47"/>
    </row>
    <row r="168" spans="1:8" s="10" customFormat="1" ht="15.75">
      <c r="A168" s="51"/>
      <c r="B168" s="44" t="s">
        <v>20</v>
      </c>
      <c r="C168" s="45" t="s">
        <v>60</v>
      </c>
      <c r="D168" s="45" t="s">
        <v>77</v>
      </c>
      <c r="E168" s="46" t="s">
        <v>109</v>
      </c>
      <c r="F168" s="45" t="s">
        <v>21</v>
      </c>
      <c r="G168" s="130">
        <f>10826.204+2000-1750+400</f>
        <v>11476.204</v>
      </c>
      <c r="H168" s="47"/>
    </row>
    <row r="169" spans="1:8" s="11" customFormat="1" ht="47.25">
      <c r="A169" s="51"/>
      <c r="B169" s="48" t="s">
        <v>232</v>
      </c>
      <c r="C169" s="45" t="s">
        <v>60</v>
      </c>
      <c r="D169" s="45" t="s">
        <v>77</v>
      </c>
      <c r="E169" s="46" t="s">
        <v>233</v>
      </c>
      <c r="F169" s="45"/>
      <c r="G169" s="130">
        <f>G170</f>
        <v>915</v>
      </c>
      <c r="H169" s="52"/>
    </row>
    <row r="170" spans="1:8" s="11" customFormat="1" ht="15.75">
      <c r="A170" s="51"/>
      <c r="B170" s="44" t="s">
        <v>20</v>
      </c>
      <c r="C170" s="45" t="s">
        <v>60</v>
      </c>
      <c r="D170" s="45" t="s">
        <v>77</v>
      </c>
      <c r="E170" s="46" t="s">
        <v>233</v>
      </c>
      <c r="F170" s="45" t="s">
        <v>21</v>
      </c>
      <c r="G170" s="130">
        <f>1000-85</f>
        <v>915</v>
      </c>
      <c r="H170" s="52"/>
    </row>
    <row r="171" spans="1:8" s="18" customFormat="1" ht="15.75">
      <c r="A171" s="61"/>
      <c r="B171" s="44" t="s">
        <v>83</v>
      </c>
      <c r="C171" s="45" t="s">
        <v>60</v>
      </c>
      <c r="D171" s="45" t="s">
        <v>84</v>
      </c>
      <c r="E171" s="46"/>
      <c r="F171" s="45"/>
      <c r="G171" s="130">
        <f>G172+G206</f>
        <v>342994.2707</v>
      </c>
      <c r="H171" s="47"/>
    </row>
    <row r="172" spans="1:8" s="18" customFormat="1" ht="31.5">
      <c r="A172" s="61"/>
      <c r="B172" s="44" t="s">
        <v>191</v>
      </c>
      <c r="C172" s="45" t="s">
        <v>60</v>
      </c>
      <c r="D172" s="45" t="s">
        <v>84</v>
      </c>
      <c r="E172" s="46" t="s">
        <v>67</v>
      </c>
      <c r="F172" s="45"/>
      <c r="G172" s="130">
        <f>G173+G193</f>
        <v>218616.70521</v>
      </c>
      <c r="H172" s="47"/>
    </row>
    <row r="173" spans="1:8" s="18" customFormat="1" ht="15.75">
      <c r="A173" s="61"/>
      <c r="B173" s="44" t="s">
        <v>85</v>
      </c>
      <c r="C173" s="45" t="s">
        <v>60</v>
      </c>
      <c r="D173" s="45" t="s">
        <v>84</v>
      </c>
      <c r="E173" s="46" t="s">
        <v>86</v>
      </c>
      <c r="F173" s="45"/>
      <c r="G173" s="130">
        <f>G184+G177+G174+G181</f>
        <v>152095.9024</v>
      </c>
      <c r="H173" s="47"/>
    </row>
    <row r="174" spans="1:8" s="18" customFormat="1" ht="78.75">
      <c r="A174" s="61"/>
      <c r="B174" s="60" t="s">
        <v>335</v>
      </c>
      <c r="C174" s="45" t="s">
        <v>60</v>
      </c>
      <c r="D174" s="45" t="s">
        <v>84</v>
      </c>
      <c r="E174" s="46" t="s">
        <v>334</v>
      </c>
      <c r="F174" s="45"/>
      <c r="G174" s="130">
        <f>G175</f>
        <v>11457.409439999996</v>
      </c>
      <c r="H174" s="47"/>
    </row>
    <row r="175" spans="1:8" s="18" customFormat="1" ht="15.75">
      <c r="A175" s="61"/>
      <c r="B175" s="44" t="s">
        <v>18</v>
      </c>
      <c r="C175" s="45" t="s">
        <v>60</v>
      </c>
      <c r="D175" s="45" t="s">
        <v>84</v>
      </c>
      <c r="E175" s="46" t="s">
        <v>334</v>
      </c>
      <c r="F175" s="45" t="s">
        <v>19</v>
      </c>
      <c r="G175" s="130">
        <f>54044.69719-23601.43819-10960.27386-8025.5757</f>
        <v>11457.409439999996</v>
      </c>
      <c r="H175" s="47"/>
    </row>
    <row r="176" spans="1:8" s="18" customFormat="1" ht="31.5">
      <c r="A176" s="61"/>
      <c r="B176" s="139" t="s">
        <v>357</v>
      </c>
      <c r="C176" s="45"/>
      <c r="D176" s="45"/>
      <c r="E176" s="46"/>
      <c r="F176" s="45"/>
      <c r="G176" s="131">
        <v>10000</v>
      </c>
      <c r="H176" s="47"/>
    </row>
    <row r="177" spans="1:8" s="18" customFormat="1" ht="47.25">
      <c r="A177" s="61"/>
      <c r="B177" s="60" t="s">
        <v>328</v>
      </c>
      <c r="C177" s="45" t="s">
        <v>60</v>
      </c>
      <c r="D177" s="45" t="s">
        <v>84</v>
      </c>
      <c r="E177" s="46" t="s">
        <v>327</v>
      </c>
      <c r="F177" s="45"/>
      <c r="G177" s="130">
        <f>G178</f>
        <v>100000</v>
      </c>
      <c r="H177" s="47"/>
    </row>
    <row r="178" spans="1:8" s="18" customFormat="1" ht="15.75">
      <c r="A178" s="61"/>
      <c r="B178" s="44" t="s">
        <v>18</v>
      </c>
      <c r="C178" s="45" t="s">
        <v>60</v>
      </c>
      <c r="D178" s="45" t="s">
        <v>84</v>
      </c>
      <c r="E178" s="46" t="s">
        <v>327</v>
      </c>
      <c r="F178" s="45" t="s">
        <v>19</v>
      </c>
      <c r="G178" s="130">
        <v>100000</v>
      </c>
      <c r="H178" s="47"/>
    </row>
    <row r="179" spans="1:8" s="18" customFormat="1" ht="15.75">
      <c r="A179" s="61"/>
      <c r="B179" s="160" t="s">
        <v>247</v>
      </c>
      <c r="C179" s="45"/>
      <c r="D179" s="45"/>
      <c r="E179" s="46"/>
      <c r="F179" s="45"/>
      <c r="G179" s="131">
        <v>70000</v>
      </c>
      <c r="H179" s="47"/>
    </row>
    <row r="180" spans="1:8" s="18" customFormat="1" ht="15.75">
      <c r="A180" s="61"/>
      <c r="B180" s="160" t="s">
        <v>207</v>
      </c>
      <c r="C180" s="45"/>
      <c r="D180" s="45"/>
      <c r="E180" s="46"/>
      <c r="F180" s="45"/>
      <c r="G180" s="131">
        <v>30000</v>
      </c>
      <c r="H180" s="47"/>
    </row>
    <row r="181" spans="1:8" s="18" customFormat="1" ht="47.25">
      <c r="A181" s="61"/>
      <c r="B181" s="60" t="s">
        <v>328</v>
      </c>
      <c r="C181" s="45" t="s">
        <v>60</v>
      </c>
      <c r="D181" s="45" t="s">
        <v>84</v>
      </c>
      <c r="E181" s="46" t="s">
        <v>423</v>
      </c>
      <c r="F181" s="45"/>
      <c r="G181" s="130">
        <f>G182</f>
        <v>30000</v>
      </c>
      <c r="H181" s="47"/>
    </row>
    <row r="182" spans="1:8" s="18" customFormat="1" ht="15.75">
      <c r="A182" s="61"/>
      <c r="B182" s="60" t="s">
        <v>18</v>
      </c>
      <c r="C182" s="45" t="s">
        <v>60</v>
      </c>
      <c r="D182" s="45" t="s">
        <v>84</v>
      </c>
      <c r="E182" s="46" t="s">
        <v>423</v>
      </c>
      <c r="F182" s="45" t="s">
        <v>19</v>
      </c>
      <c r="G182" s="130">
        <v>30000</v>
      </c>
      <c r="H182" s="47"/>
    </row>
    <row r="183" spans="1:8" s="18" customFormat="1" ht="15.75">
      <c r="A183" s="61"/>
      <c r="B183" s="160" t="s">
        <v>247</v>
      </c>
      <c r="C183" s="45"/>
      <c r="D183" s="45"/>
      <c r="E183" s="46"/>
      <c r="F183" s="45"/>
      <c r="G183" s="131">
        <v>30000</v>
      </c>
      <c r="H183" s="47"/>
    </row>
    <row r="184" spans="1:8" s="18" customFormat="1" ht="31.5">
      <c r="A184" s="61"/>
      <c r="B184" s="60" t="s">
        <v>324</v>
      </c>
      <c r="C184" s="45" t="s">
        <v>60</v>
      </c>
      <c r="D184" s="45" t="s">
        <v>84</v>
      </c>
      <c r="E184" s="46" t="s">
        <v>294</v>
      </c>
      <c r="F184" s="45"/>
      <c r="G184" s="130">
        <f>G189+G185</f>
        <v>10638.49296</v>
      </c>
      <c r="H184" s="47"/>
    </row>
    <row r="185" spans="1:8" s="18" customFormat="1" ht="15.75">
      <c r="A185" s="61"/>
      <c r="B185" s="44" t="s">
        <v>18</v>
      </c>
      <c r="C185" s="45" t="s">
        <v>60</v>
      </c>
      <c r="D185" s="45" t="s">
        <v>84</v>
      </c>
      <c r="E185" s="46" t="s">
        <v>294</v>
      </c>
      <c r="F185" s="45" t="s">
        <v>19</v>
      </c>
      <c r="G185" s="130">
        <f>G186+G187+G188</f>
        <v>6197.134959999999</v>
      </c>
      <c r="H185" s="47"/>
    </row>
    <row r="186" spans="1:8" s="18" customFormat="1" ht="15.75">
      <c r="A186" s="61"/>
      <c r="B186" s="160" t="s">
        <v>247</v>
      </c>
      <c r="C186" s="45"/>
      <c r="D186" s="45"/>
      <c r="E186" s="46"/>
      <c r="F186" s="45"/>
      <c r="G186" s="131">
        <f>5580.61544+229.39478</f>
        <v>5810.010219999999</v>
      </c>
      <c r="H186" s="47"/>
    </row>
    <row r="187" spans="1:8" s="18" customFormat="1" ht="15.75">
      <c r="A187" s="61"/>
      <c r="B187" s="160" t="s">
        <v>207</v>
      </c>
      <c r="C187" s="45"/>
      <c r="D187" s="45"/>
      <c r="E187" s="46"/>
      <c r="F187" s="45"/>
      <c r="G187" s="131">
        <f>338.03637+13.89521</f>
        <v>351.93158</v>
      </c>
      <c r="H187" s="47"/>
    </row>
    <row r="188" spans="1:8" s="18" customFormat="1" ht="15.75">
      <c r="A188" s="61"/>
      <c r="B188" s="160" t="s">
        <v>206</v>
      </c>
      <c r="C188" s="45"/>
      <c r="D188" s="45"/>
      <c r="E188" s="46"/>
      <c r="F188" s="45"/>
      <c r="G188" s="131">
        <f>33.80364+1.38952</f>
        <v>35.19316</v>
      </c>
      <c r="H188" s="47"/>
    </row>
    <row r="189" spans="1:8" s="18" customFormat="1" ht="15.75">
      <c r="A189" s="61"/>
      <c r="B189" s="44" t="s">
        <v>20</v>
      </c>
      <c r="C189" s="45" t="s">
        <v>60</v>
      </c>
      <c r="D189" s="45" t="s">
        <v>84</v>
      </c>
      <c r="E189" s="46" t="s">
        <v>294</v>
      </c>
      <c r="F189" s="45" t="s">
        <v>21</v>
      </c>
      <c r="G189" s="130">
        <f>G191+G192+G190</f>
        <v>4441.358</v>
      </c>
      <c r="H189" s="47"/>
    </row>
    <row r="190" spans="1:8" s="18" customFormat="1" ht="15.75">
      <c r="A190" s="61"/>
      <c r="B190" s="160" t="s">
        <v>247</v>
      </c>
      <c r="C190" s="45"/>
      <c r="D190" s="45"/>
      <c r="E190" s="46"/>
      <c r="F190" s="45"/>
      <c r="G190" s="131">
        <f>4393.30852-229.39478</f>
        <v>4163.91374</v>
      </c>
      <c r="H190" s="47"/>
    </row>
    <row r="191" spans="1:8" s="18" customFormat="1" ht="15.75">
      <c r="A191" s="61"/>
      <c r="B191" s="160" t="s">
        <v>207</v>
      </c>
      <c r="C191" s="45"/>
      <c r="D191" s="45"/>
      <c r="E191" s="46"/>
      <c r="F191" s="45"/>
      <c r="G191" s="131">
        <f>266.11727-13.89521</f>
        <v>252.22206000000003</v>
      </c>
      <c r="H191" s="47"/>
    </row>
    <row r="192" spans="1:8" s="18" customFormat="1" ht="15.75">
      <c r="A192" s="61"/>
      <c r="B192" s="160" t="s">
        <v>206</v>
      </c>
      <c r="C192" s="45"/>
      <c r="D192" s="45"/>
      <c r="E192" s="46"/>
      <c r="F192" s="45"/>
      <c r="G192" s="131">
        <f>26.61172-1.38952</f>
        <v>25.222199999999997</v>
      </c>
      <c r="H192" s="47"/>
    </row>
    <row r="193" spans="1:8" s="18" customFormat="1" ht="15.75">
      <c r="A193" s="61"/>
      <c r="B193" s="60" t="s">
        <v>126</v>
      </c>
      <c r="C193" s="45" t="s">
        <v>60</v>
      </c>
      <c r="D193" s="45" t="s">
        <v>84</v>
      </c>
      <c r="E193" s="46" t="s">
        <v>68</v>
      </c>
      <c r="F193" s="151"/>
      <c r="G193" s="130">
        <f>G194+G203</f>
        <v>66520.80281</v>
      </c>
      <c r="H193" s="47"/>
    </row>
    <row r="194" spans="1:8" s="18" customFormat="1" ht="78.75">
      <c r="A194" s="61"/>
      <c r="B194" s="60" t="s">
        <v>254</v>
      </c>
      <c r="C194" s="45" t="s">
        <v>60</v>
      </c>
      <c r="D194" s="45" t="s">
        <v>84</v>
      </c>
      <c r="E194" s="46" t="s">
        <v>255</v>
      </c>
      <c r="F194" s="151"/>
      <c r="G194" s="130">
        <f>G195+G200</f>
        <v>14213.298409999996</v>
      </c>
      <c r="H194" s="47"/>
    </row>
    <row r="195" spans="1:9" s="18" customFormat="1" ht="15.75">
      <c r="A195" s="61"/>
      <c r="B195" s="44" t="s">
        <v>18</v>
      </c>
      <c r="C195" s="45" t="s">
        <v>60</v>
      </c>
      <c r="D195" s="45" t="s">
        <v>84</v>
      </c>
      <c r="E195" s="46" t="s">
        <v>255</v>
      </c>
      <c r="F195" s="45" t="s">
        <v>19</v>
      </c>
      <c r="G195" s="130">
        <f>889.7+1500+450+210+140.807+1691.95</f>
        <v>4882.456999999999</v>
      </c>
      <c r="H195" s="65"/>
      <c r="I195" s="65"/>
    </row>
    <row r="196" spans="1:9" s="18" customFormat="1" ht="15.75">
      <c r="A196" s="61"/>
      <c r="B196" s="161" t="s">
        <v>336</v>
      </c>
      <c r="C196" s="45"/>
      <c r="D196" s="45"/>
      <c r="E196" s="46"/>
      <c r="F196" s="45"/>
      <c r="G196" s="131">
        <v>400</v>
      </c>
      <c r="H196" s="65"/>
      <c r="I196" s="65"/>
    </row>
    <row r="197" spans="1:9" s="18" customFormat="1" ht="31.5">
      <c r="A197" s="61"/>
      <c r="B197" s="139" t="s">
        <v>337</v>
      </c>
      <c r="C197" s="45"/>
      <c r="D197" s="45"/>
      <c r="E197" s="46"/>
      <c r="F197" s="45"/>
      <c r="G197" s="131">
        <v>50</v>
      </c>
      <c r="H197" s="65"/>
      <c r="I197" s="65"/>
    </row>
    <row r="198" spans="1:9" s="18" customFormat="1" ht="31.5">
      <c r="A198" s="61"/>
      <c r="B198" s="139" t="s">
        <v>358</v>
      </c>
      <c r="C198" s="45"/>
      <c r="D198" s="45"/>
      <c r="E198" s="46"/>
      <c r="F198" s="45"/>
      <c r="G198" s="131">
        <f>210+1691.95</f>
        <v>1901.95</v>
      </c>
      <c r="H198" s="65"/>
      <c r="I198" s="65"/>
    </row>
    <row r="199" spans="1:9" s="18" customFormat="1" ht="15.75">
      <c r="A199" s="61"/>
      <c r="B199" s="139" t="s">
        <v>412</v>
      </c>
      <c r="C199" s="45"/>
      <c r="D199" s="45"/>
      <c r="E199" s="46"/>
      <c r="F199" s="45"/>
      <c r="G199" s="164">
        <v>788.8406</v>
      </c>
      <c r="H199" s="65"/>
      <c r="I199" s="65"/>
    </row>
    <row r="200" spans="1:9" s="18" customFormat="1" ht="15.75">
      <c r="A200" s="61"/>
      <c r="B200" s="44" t="s">
        <v>61</v>
      </c>
      <c r="C200" s="45" t="s">
        <v>60</v>
      </c>
      <c r="D200" s="45" t="s">
        <v>84</v>
      </c>
      <c r="E200" s="46" t="s">
        <v>255</v>
      </c>
      <c r="F200" s="45" t="s">
        <v>62</v>
      </c>
      <c r="G200" s="130">
        <f>2524.78533+700+14000-3464.15592-4429.788</f>
        <v>9330.841409999997</v>
      </c>
      <c r="H200" s="65"/>
      <c r="I200" s="65"/>
    </row>
    <row r="201" spans="1:9" s="18" customFormat="1" ht="15.75">
      <c r="A201" s="61"/>
      <c r="B201" s="139" t="s">
        <v>424</v>
      </c>
      <c r="C201" s="45"/>
      <c r="D201" s="45"/>
      <c r="E201" s="46"/>
      <c r="F201" s="45"/>
      <c r="G201" s="131">
        <v>700</v>
      </c>
      <c r="H201" s="65"/>
      <c r="I201" s="65"/>
    </row>
    <row r="202" spans="1:9" s="18" customFormat="1" ht="15.75">
      <c r="A202" s="61"/>
      <c r="B202" s="139" t="s">
        <v>412</v>
      </c>
      <c r="C202" s="45"/>
      <c r="D202" s="45"/>
      <c r="E202" s="46"/>
      <c r="F202" s="45"/>
      <c r="G202" s="164">
        <v>2056.22434</v>
      </c>
      <c r="H202" s="65"/>
      <c r="I202" s="65"/>
    </row>
    <row r="203" spans="1:9" s="18" customFormat="1" ht="78.75">
      <c r="A203" s="61"/>
      <c r="B203" s="60" t="s">
        <v>401</v>
      </c>
      <c r="C203" s="45" t="s">
        <v>60</v>
      </c>
      <c r="D203" s="45" t="s">
        <v>84</v>
      </c>
      <c r="E203" s="46" t="s">
        <v>359</v>
      </c>
      <c r="F203" s="45"/>
      <c r="G203" s="130">
        <f>G204</f>
        <v>52307.5044</v>
      </c>
      <c r="H203" s="65"/>
      <c r="I203" s="65"/>
    </row>
    <row r="204" spans="1:9" s="18" customFormat="1" ht="15.75">
      <c r="A204" s="61"/>
      <c r="B204" s="44" t="s">
        <v>20</v>
      </c>
      <c r="C204" s="45" t="s">
        <v>60</v>
      </c>
      <c r="D204" s="45" t="s">
        <v>84</v>
      </c>
      <c r="E204" s="46" t="s">
        <v>359</v>
      </c>
      <c r="F204" s="45" t="s">
        <v>21</v>
      </c>
      <c r="G204" s="130">
        <f>60300-7992.4956</f>
        <v>52307.5044</v>
      </c>
      <c r="H204" s="65"/>
      <c r="I204" s="65"/>
    </row>
    <row r="205" spans="1:9" s="18" customFormat="1" ht="15.75">
      <c r="A205" s="61"/>
      <c r="B205" s="160" t="s">
        <v>247</v>
      </c>
      <c r="C205" s="45"/>
      <c r="D205" s="45"/>
      <c r="E205" s="46"/>
      <c r="F205" s="45"/>
      <c r="G205" s="131">
        <f>60300-7992.4956</f>
        <v>52307.5044</v>
      </c>
      <c r="H205" s="65"/>
      <c r="I205" s="65"/>
    </row>
    <row r="206" spans="1:8" s="18" customFormat="1" ht="15.75">
      <c r="A206" s="61"/>
      <c r="B206" s="44" t="s">
        <v>9</v>
      </c>
      <c r="C206" s="45" t="s">
        <v>60</v>
      </c>
      <c r="D206" s="45" t="s">
        <v>84</v>
      </c>
      <c r="E206" s="46" t="s">
        <v>10</v>
      </c>
      <c r="F206" s="45"/>
      <c r="G206" s="130">
        <f>G211+G215+G217+G219+G221+G207+G209</f>
        <v>124377.56549000001</v>
      </c>
      <c r="H206" s="70"/>
    </row>
    <row r="207" spans="1:8" s="18" customFormat="1" ht="15.75">
      <c r="A207" s="61"/>
      <c r="B207" s="44" t="s">
        <v>404</v>
      </c>
      <c r="C207" s="45" t="s">
        <v>60</v>
      </c>
      <c r="D207" s="45" t="s">
        <v>84</v>
      </c>
      <c r="E207" s="46" t="s">
        <v>352</v>
      </c>
      <c r="F207" s="45"/>
      <c r="G207" s="130">
        <f>G208</f>
        <v>9268.23392</v>
      </c>
      <c r="H207" s="70"/>
    </row>
    <row r="208" spans="1:8" s="18" customFormat="1" ht="15.75">
      <c r="A208" s="61"/>
      <c r="B208" s="44" t="s">
        <v>18</v>
      </c>
      <c r="C208" s="45" t="s">
        <v>60</v>
      </c>
      <c r="D208" s="45" t="s">
        <v>84</v>
      </c>
      <c r="E208" s="46" t="s">
        <v>352</v>
      </c>
      <c r="F208" s="45" t="s">
        <v>19</v>
      </c>
      <c r="G208" s="130">
        <v>9268.23392</v>
      </c>
      <c r="H208" s="70"/>
    </row>
    <row r="209" spans="1:8" s="18" customFormat="1" ht="15.75">
      <c r="A209" s="61"/>
      <c r="B209" s="44" t="s">
        <v>404</v>
      </c>
      <c r="C209" s="45" t="s">
        <v>60</v>
      </c>
      <c r="D209" s="45" t="s">
        <v>84</v>
      </c>
      <c r="E209" s="46" t="s">
        <v>352</v>
      </c>
      <c r="F209" s="45"/>
      <c r="G209" s="130">
        <f>G210</f>
        <v>359.341</v>
      </c>
      <c r="H209" s="70"/>
    </row>
    <row r="210" spans="1:8" s="18" customFormat="1" ht="15.75">
      <c r="A210" s="61"/>
      <c r="B210" s="44" t="s">
        <v>20</v>
      </c>
      <c r="C210" s="45" t="s">
        <v>60</v>
      </c>
      <c r="D210" s="45" t="s">
        <v>84</v>
      </c>
      <c r="E210" s="46" t="s">
        <v>352</v>
      </c>
      <c r="F210" s="45" t="s">
        <v>21</v>
      </c>
      <c r="G210" s="130">
        <v>359.341</v>
      </c>
      <c r="H210" s="70"/>
    </row>
    <row r="211" spans="1:8" s="18" customFormat="1" ht="15.75">
      <c r="A211" s="61"/>
      <c r="B211" s="44" t="s">
        <v>242</v>
      </c>
      <c r="C211" s="45" t="s">
        <v>60</v>
      </c>
      <c r="D211" s="45" t="s">
        <v>84</v>
      </c>
      <c r="E211" s="46" t="s">
        <v>89</v>
      </c>
      <c r="F211" s="45"/>
      <c r="G211" s="130">
        <f>G212</f>
        <v>15265.291560000001</v>
      </c>
      <c r="H211" s="70"/>
    </row>
    <row r="212" spans="1:8" s="18" customFormat="1" ht="15.75">
      <c r="A212" s="61"/>
      <c r="B212" s="44" t="s">
        <v>18</v>
      </c>
      <c r="C212" s="45" t="s">
        <v>60</v>
      </c>
      <c r="D212" s="45" t="s">
        <v>84</v>
      </c>
      <c r="E212" s="46" t="s">
        <v>89</v>
      </c>
      <c r="F212" s="45" t="s">
        <v>19</v>
      </c>
      <c r="G212" s="130">
        <f>14833.53+1000-18.23944+0.001-550</f>
        <v>15265.291560000001</v>
      </c>
      <c r="H212" s="70"/>
    </row>
    <row r="213" spans="1:8" s="18" customFormat="1" ht="15.75">
      <c r="A213" s="61"/>
      <c r="B213" s="139" t="s">
        <v>288</v>
      </c>
      <c r="C213" s="152"/>
      <c r="D213" s="152"/>
      <c r="E213" s="153"/>
      <c r="F213" s="152"/>
      <c r="G213" s="131">
        <f>3517.786-906.686+0.001</f>
        <v>2611.101</v>
      </c>
      <c r="H213" s="70"/>
    </row>
    <row r="214" spans="1:8" s="18" customFormat="1" ht="15.75">
      <c r="A214" s="61"/>
      <c r="B214" s="161" t="s">
        <v>338</v>
      </c>
      <c r="C214" s="152"/>
      <c r="D214" s="152"/>
      <c r="E214" s="153"/>
      <c r="F214" s="152"/>
      <c r="G214" s="131">
        <v>889</v>
      </c>
      <c r="H214" s="70"/>
    </row>
    <row r="215" spans="1:8" s="18" customFormat="1" ht="15.75">
      <c r="A215" s="61"/>
      <c r="B215" s="44" t="s">
        <v>90</v>
      </c>
      <c r="C215" s="45" t="s">
        <v>60</v>
      </c>
      <c r="D215" s="45" t="s">
        <v>84</v>
      </c>
      <c r="E215" s="46" t="s">
        <v>91</v>
      </c>
      <c r="F215" s="45"/>
      <c r="G215" s="130">
        <f>G216</f>
        <v>3154.39091</v>
      </c>
      <c r="H215" s="70"/>
    </row>
    <row r="216" spans="1:8" s="18" customFormat="1" ht="15.75">
      <c r="A216" s="61"/>
      <c r="B216" s="44" t="s">
        <v>18</v>
      </c>
      <c r="C216" s="45" t="s">
        <v>60</v>
      </c>
      <c r="D216" s="45" t="s">
        <v>84</v>
      </c>
      <c r="E216" s="46" t="s">
        <v>91</v>
      </c>
      <c r="F216" s="45" t="s">
        <v>19</v>
      </c>
      <c r="G216" s="130">
        <f>3507.21491+500-500-352.824</f>
        <v>3154.39091</v>
      </c>
      <c r="H216" s="70"/>
    </row>
    <row r="217" spans="1:8" s="18" customFormat="1" ht="15.75">
      <c r="A217" s="61"/>
      <c r="B217" s="44" t="s">
        <v>92</v>
      </c>
      <c r="C217" s="45" t="s">
        <v>60</v>
      </c>
      <c r="D217" s="45" t="s">
        <v>84</v>
      </c>
      <c r="E217" s="46" t="s">
        <v>93</v>
      </c>
      <c r="F217" s="45"/>
      <c r="G217" s="130">
        <f>G218</f>
        <v>776.9580000000001</v>
      </c>
      <c r="H217" s="70"/>
    </row>
    <row r="218" spans="1:8" s="18" customFormat="1" ht="15.75">
      <c r="A218" s="61"/>
      <c r="B218" s="44" t="s">
        <v>18</v>
      </c>
      <c r="C218" s="45" t="s">
        <v>60</v>
      </c>
      <c r="D218" s="45" t="s">
        <v>84</v>
      </c>
      <c r="E218" s="46" t="s">
        <v>93</v>
      </c>
      <c r="F218" s="45" t="s">
        <v>19</v>
      </c>
      <c r="G218" s="130">
        <f>776.958+500-500</f>
        <v>776.9580000000001</v>
      </c>
      <c r="H218" s="70"/>
    </row>
    <row r="219" spans="1:8" s="18" customFormat="1" ht="15.75">
      <c r="A219" s="61"/>
      <c r="B219" s="44" t="s">
        <v>94</v>
      </c>
      <c r="C219" s="45" t="s">
        <v>60</v>
      </c>
      <c r="D219" s="45" t="s">
        <v>84</v>
      </c>
      <c r="E219" s="46" t="s">
        <v>95</v>
      </c>
      <c r="F219" s="45"/>
      <c r="G219" s="130">
        <f>G220</f>
        <v>296.14998</v>
      </c>
      <c r="H219" s="70"/>
    </row>
    <row r="220" spans="1:8" s="18" customFormat="1" ht="15.75">
      <c r="A220" s="61"/>
      <c r="B220" s="44" t="s">
        <v>18</v>
      </c>
      <c r="C220" s="45" t="s">
        <v>60</v>
      </c>
      <c r="D220" s="45" t="s">
        <v>84</v>
      </c>
      <c r="E220" s="46" t="s">
        <v>95</v>
      </c>
      <c r="F220" s="45" t="s">
        <v>19</v>
      </c>
      <c r="G220" s="130">
        <f>225.8034+70.34658</f>
        <v>296.14998</v>
      </c>
      <c r="H220" s="70"/>
    </row>
    <row r="221" spans="1:8" s="18" customFormat="1" ht="31.5">
      <c r="A221" s="51"/>
      <c r="B221" s="44" t="s">
        <v>87</v>
      </c>
      <c r="C221" s="45" t="s">
        <v>60</v>
      </c>
      <c r="D221" s="45" t="s">
        <v>84</v>
      </c>
      <c r="E221" s="46" t="s">
        <v>88</v>
      </c>
      <c r="F221" s="45"/>
      <c r="G221" s="130">
        <f>G222</f>
        <v>95257.20012000001</v>
      </c>
      <c r="H221" s="47"/>
    </row>
    <row r="222" spans="1:8" s="10" customFormat="1" ht="15.75">
      <c r="A222" s="51"/>
      <c r="B222" s="44" t="s">
        <v>61</v>
      </c>
      <c r="C222" s="45" t="s">
        <v>60</v>
      </c>
      <c r="D222" s="45" t="s">
        <v>84</v>
      </c>
      <c r="E222" s="46" t="s">
        <v>88</v>
      </c>
      <c r="F222" s="45" t="s">
        <v>62</v>
      </c>
      <c r="G222" s="130">
        <f>85087.8824+169.31772-10000+10000+10000</f>
        <v>95257.20012000001</v>
      </c>
      <c r="H222" s="47"/>
    </row>
    <row r="223" spans="1:8" s="10" customFormat="1" ht="15.75">
      <c r="A223" s="51"/>
      <c r="B223" s="44" t="s">
        <v>96</v>
      </c>
      <c r="C223" s="45" t="s">
        <v>60</v>
      </c>
      <c r="D223" s="45" t="s">
        <v>97</v>
      </c>
      <c r="E223" s="46"/>
      <c r="F223" s="45"/>
      <c r="G223" s="130">
        <f>G224+G233</f>
        <v>48212.068179999995</v>
      </c>
      <c r="H223" s="47"/>
    </row>
    <row r="224" spans="1:11" s="16" customFormat="1" ht="47.25" customHeight="1">
      <c r="A224" s="51"/>
      <c r="B224" s="44" t="s">
        <v>240</v>
      </c>
      <c r="C224" s="45" t="s">
        <v>60</v>
      </c>
      <c r="D224" s="45" t="s">
        <v>97</v>
      </c>
      <c r="E224" s="46" t="s">
        <v>79</v>
      </c>
      <c r="F224" s="45"/>
      <c r="G224" s="130">
        <f>G225</f>
        <v>13903.244</v>
      </c>
      <c r="H224" s="52"/>
      <c r="I224" s="11"/>
      <c r="J224" s="11"/>
      <c r="K224" s="11"/>
    </row>
    <row r="225" spans="1:11" s="16" customFormat="1" ht="31.5" customHeight="1">
      <c r="A225" s="51"/>
      <c r="B225" s="44" t="s">
        <v>223</v>
      </c>
      <c r="C225" s="45" t="s">
        <v>60</v>
      </c>
      <c r="D225" s="45" t="s">
        <v>97</v>
      </c>
      <c r="E225" s="46" t="s">
        <v>80</v>
      </c>
      <c r="F225" s="45"/>
      <c r="G225" s="130">
        <f>G226+G228+G231</f>
        <v>13903.244</v>
      </c>
      <c r="H225" s="52"/>
      <c r="I225" s="11"/>
      <c r="J225" s="11"/>
      <c r="K225" s="11"/>
    </row>
    <row r="226" spans="1:11" s="16" customFormat="1" ht="47.25" customHeight="1">
      <c r="A226" s="51"/>
      <c r="B226" s="69" t="s">
        <v>229</v>
      </c>
      <c r="C226" s="45" t="s">
        <v>60</v>
      </c>
      <c r="D226" s="45" t="s">
        <v>97</v>
      </c>
      <c r="E226" s="46" t="s">
        <v>228</v>
      </c>
      <c r="F226" s="45"/>
      <c r="G226" s="130">
        <f>G227</f>
        <v>12971</v>
      </c>
      <c r="H226" s="52"/>
      <c r="I226" s="11"/>
      <c r="J226" s="11"/>
      <c r="K226" s="11"/>
    </row>
    <row r="227" spans="1:11" s="16" customFormat="1" ht="15.75" customHeight="1">
      <c r="A227" s="51"/>
      <c r="B227" s="44" t="s">
        <v>18</v>
      </c>
      <c r="C227" s="45" t="s">
        <v>60</v>
      </c>
      <c r="D227" s="45" t="s">
        <v>97</v>
      </c>
      <c r="E227" s="46" t="s">
        <v>228</v>
      </c>
      <c r="F227" s="45" t="s">
        <v>19</v>
      </c>
      <c r="G227" s="130">
        <v>12971</v>
      </c>
      <c r="I227" s="11"/>
      <c r="J227" s="11"/>
      <c r="K227" s="11"/>
    </row>
    <row r="228" spans="1:11" s="16" customFormat="1" ht="47.25" customHeight="1">
      <c r="A228" s="51"/>
      <c r="B228" s="69" t="s">
        <v>98</v>
      </c>
      <c r="C228" s="45" t="s">
        <v>60</v>
      </c>
      <c r="D228" s="45" t="s">
        <v>97</v>
      </c>
      <c r="E228" s="46" t="s">
        <v>302</v>
      </c>
      <c r="F228" s="45"/>
      <c r="G228" s="130">
        <f>G229</f>
        <v>712.244</v>
      </c>
      <c r="H228" s="124"/>
      <c r="I228" s="11"/>
      <c r="J228" s="11"/>
      <c r="K228" s="11"/>
    </row>
    <row r="229" spans="1:11" s="16" customFormat="1" ht="15.75" customHeight="1">
      <c r="A229" s="51"/>
      <c r="B229" s="44" t="s">
        <v>18</v>
      </c>
      <c r="C229" s="45" t="s">
        <v>60</v>
      </c>
      <c r="D229" s="45" t="s">
        <v>97</v>
      </c>
      <c r="E229" s="46" t="s">
        <v>302</v>
      </c>
      <c r="F229" s="45" t="s">
        <v>19</v>
      </c>
      <c r="G229" s="130">
        <f>359.42+352.824</f>
        <v>712.244</v>
      </c>
      <c r="H229" s="52"/>
      <c r="I229" s="11"/>
      <c r="J229" s="11"/>
      <c r="K229" s="11"/>
    </row>
    <row r="230" spans="1:11" s="16" customFormat="1" ht="15.75" customHeight="1">
      <c r="A230" s="51"/>
      <c r="B230" s="139" t="s">
        <v>356</v>
      </c>
      <c r="C230" s="45"/>
      <c r="D230" s="45"/>
      <c r="E230" s="46"/>
      <c r="F230" s="45"/>
      <c r="G230" s="164">
        <f>300+76.40116</f>
        <v>376.40116</v>
      </c>
      <c r="H230" s="52"/>
      <c r="I230" s="11"/>
      <c r="J230" s="11"/>
      <c r="K230" s="11"/>
    </row>
    <row r="231" spans="1:11" s="16" customFormat="1" ht="110.25">
      <c r="A231" s="51"/>
      <c r="B231" s="69" t="s">
        <v>326</v>
      </c>
      <c r="C231" s="45" t="s">
        <v>60</v>
      </c>
      <c r="D231" s="45" t="s">
        <v>97</v>
      </c>
      <c r="E231" s="46" t="s">
        <v>230</v>
      </c>
      <c r="F231" s="45"/>
      <c r="G231" s="130">
        <f>G232</f>
        <v>220</v>
      </c>
      <c r="H231" s="52"/>
      <c r="I231" s="11"/>
      <c r="J231" s="11"/>
      <c r="K231" s="11"/>
    </row>
    <row r="232" spans="1:11" s="16" customFormat="1" ht="15.75" customHeight="1">
      <c r="A232" s="51"/>
      <c r="B232" s="44" t="s">
        <v>20</v>
      </c>
      <c r="C232" s="45" t="s">
        <v>60</v>
      </c>
      <c r="D232" s="45" t="s">
        <v>97</v>
      </c>
      <c r="E232" s="46" t="s">
        <v>230</v>
      </c>
      <c r="F232" s="45" t="s">
        <v>21</v>
      </c>
      <c r="G232" s="130">
        <v>220</v>
      </c>
      <c r="H232" s="52"/>
      <c r="I232" s="11"/>
      <c r="J232" s="11"/>
      <c r="K232" s="11"/>
    </row>
    <row r="233" spans="1:8" s="10" customFormat="1" ht="15.75">
      <c r="A233" s="51"/>
      <c r="B233" s="44" t="s">
        <v>9</v>
      </c>
      <c r="C233" s="45" t="s">
        <v>60</v>
      </c>
      <c r="D233" s="45" t="s">
        <v>97</v>
      </c>
      <c r="E233" s="46" t="s">
        <v>10</v>
      </c>
      <c r="F233" s="45"/>
      <c r="G233" s="130">
        <f>G234+G239</f>
        <v>34308.824179999996</v>
      </c>
      <c r="H233" s="47"/>
    </row>
    <row r="234" spans="1:8" s="15" customFormat="1" ht="31.5">
      <c r="A234" s="61"/>
      <c r="B234" s="60" t="s">
        <v>16</v>
      </c>
      <c r="C234" s="45" t="s">
        <v>60</v>
      </c>
      <c r="D234" s="45" t="s">
        <v>97</v>
      </c>
      <c r="E234" s="46" t="s">
        <v>17</v>
      </c>
      <c r="F234" s="45" t="s">
        <v>15</v>
      </c>
      <c r="G234" s="130">
        <f>G235+G236+G238+G237</f>
        <v>22571.408349999998</v>
      </c>
      <c r="H234" s="52"/>
    </row>
    <row r="235" spans="1:8" s="15" customFormat="1" ht="47.25">
      <c r="A235" s="61"/>
      <c r="B235" s="44" t="s">
        <v>11</v>
      </c>
      <c r="C235" s="45" t="s">
        <v>60</v>
      </c>
      <c r="D235" s="45" t="s">
        <v>97</v>
      </c>
      <c r="E235" s="46" t="s">
        <v>17</v>
      </c>
      <c r="F235" s="45" t="s">
        <v>12</v>
      </c>
      <c r="G235" s="130">
        <f>16809.7322-142.35784-310+2300+700</f>
        <v>19357.374359999998</v>
      </c>
      <c r="H235" s="52"/>
    </row>
    <row r="236" spans="1:8" s="15" customFormat="1" ht="15.75">
      <c r="A236" s="61"/>
      <c r="B236" s="44" t="s">
        <v>18</v>
      </c>
      <c r="C236" s="45" t="s">
        <v>60</v>
      </c>
      <c r="D236" s="45" t="s">
        <v>97</v>
      </c>
      <c r="E236" s="46" t="s">
        <v>17</v>
      </c>
      <c r="F236" s="45" t="s">
        <v>19</v>
      </c>
      <c r="G236" s="130">
        <f>915.229-300+190+361.5+212.19143+32</f>
        <v>1410.9204300000001</v>
      </c>
      <c r="H236" s="52"/>
    </row>
    <row r="237" spans="1:8" s="15" customFormat="1" ht="15.75">
      <c r="A237" s="61"/>
      <c r="B237" s="48" t="s">
        <v>49</v>
      </c>
      <c r="C237" s="45" t="s">
        <v>60</v>
      </c>
      <c r="D237" s="45" t="s">
        <v>97</v>
      </c>
      <c r="E237" s="46" t="s">
        <v>17</v>
      </c>
      <c r="F237" s="45" t="s">
        <v>50</v>
      </c>
      <c r="G237" s="130">
        <f>141.11784</f>
        <v>141.11784</v>
      </c>
      <c r="H237" s="52"/>
    </row>
    <row r="238" spans="1:8" s="11" customFormat="1" ht="15.75">
      <c r="A238" s="51"/>
      <c r="B238" s="44" t="s">
        <v>20</v>
      </c>
      <c r="C238" s="45" t="s">
        <v>60</v>
      </c>
      <c r="D238" s="45" t="s">
        <v>97</v>
      </c>
      <c r="E238" s="46" t="s">
        <v>17</v>
      </c>
      <c r="F238" s="45" t="s">
        <v>21</v>
      </c>
      <c r="G238" s="130">
        <f>263.55241+1318.44331+80</f>
        <v>1661.9957200000001</v>
      </c>
      <c r="H238" s="52"/>
    </row>
    <row r="239" spans="1:8" s="11" customFormat="1" ht="47.25">
      <c r="A239" s="51"/>
      <c r="B239" s="73" t="s">
        <v>100</v>
      </c>
      <c r="C239" s="45" t="s">
        <v>60</v>
      </c>
      <c r="D239" s="45" t="s">
        <v>97</v>
      </c>
      <c r="E239" s="46" t="s">
        <v>101</v>
      </c>
      <c r="F239" s="45"/>
      <c r="G239" s="130">
        <f>G240+G241+G242</f>
        <v>11737.41583</v>
      </c>
      <c r="H239" s="52"/>
    </row>
    <row r="240" spans="1:8" s="11" customFormat="1" ht="47.25">
      <c r="A240" s="51"/>
      <c r="B240" s="44" t="s">
        <v>11</v>
      </c>
      <c r="C240" s="45" t="s">
        <v>60</v>
      </c>
      <c r="D240" s="45" t="s">
        <v>97</v>
      </c>
      <c r="E240" s="46" t="s">
        <v>101</v>
      </c>
      <c r="F240" s="45" t="s">
        <v>12</v>
      </c>
      <c r="G240" s="130">
        <f>10654.03687+430.09137+129.88759</f>
        <v>11214.01583</v>
      </c>
      <c r="H240" s="52"/>
    </row>
    <row r="241" spans="1:8" s="11" customFormat="1" ht="15.75">
      <c r="A241" s="51"/>
      <c r="B241" s="44" t="s">
        <v>18</v>
      </c>
      <c r="C241" s="45" t="s">
        <v>60</v>
      </c>
      <c r="D241" s="45" t="s">
        <v>97</v>
      </c>
      <c r="E241" s="46" t="s">
        <v>101</v>
      </c>
      <c r="F241" s="45" t="s">
        <v>19</v>
      </c>
      <c r="G241" s="130">
        <f>648.4-130</f>
        <v>518.4</v>
      </c>
      <c r="H241" s="52"/>
    </row>
    <row r="242" spans="1:8" s="11" customFormat="1" ht="15.75">
      <c r="A242" s="51"/>
      <c r="B242" s="44" t="s">
        <v>20</v>
      </c>
      <c r="C242" s="45" t="s">
        <v>60</v>
      </c>
      <c r="D242" s="45" t="s">
        <v>97</v>
      </c>
      <c r="E242" s="46" t="s">
        <v>101</v>
      </c>
      <c r="F242" s="45" t="s">
        <v>21</v>
      </c>
      <c r="G242" s="130">
        <v>5</v>
      </c>
      <c r="H242" s="52"/>
    </row>
    <row r="243" spans="1:8" s="11" customFormat="1" ht="15.75">
      <c r="A243" s="51"/>
      <c r="B243" s="44" t="s">
        <v>280</v>
      </c>
      <c r="C243" s="45" t="s">
        <v>60</v>
      </c>
      <c r="D243" s="45" t="s">
        <v>178</v>
      </c>
      <c r="E243" s="46"/>
      <c r="F243" s="45"/>
      <c r="G243" s="130">
        <f>G244</f>
        <v>4968.72199</v>
      </c>
      <c r="H243" s="52"/>
    </row>
    <row r="244" spans="1:8" s="11" customFormat="1" ht="15.75">
      <c r="A244" s="51"/>
      <c r="B244" s="44" t="s">
        <v>275</v>
      </c>
      <c r="C244" s="45" t="s">
        <v>60</v>
      </c>
      <c r="D244" s="45" t="s">
        <v>272</v>
      </c>
      <c r="E244" s="46"/>
      <c r="F244" s="45"/>
      <c r="G244" s="130">
        <f>G245</f>
        <v>4968.72199</v>
      </c>
      <c r="H244" s="52"/>
    </row>
    <row r="245" spans="1:8" s="11" customFormat="1" ht="38.25" customHeight="1">
      <c r="A245" s="51"/>
      <c r="B245" s="44" t="s">
        <v>276</v>
      </c>
      <c r="C245" s="45" t="s">
        <v>60</v>
      </c>
      <c r="D245" s="45" t="s">
        <v>272</v>
      </c>
      <c r="E245" s="46" t="s">
        <v>273</v>
      </c>
      <c r="F245" s="45"/>
      <c r="G245" s="130">
        <f>G260+G246</f>
        <v>4968.72199</v>
      </c>
      <c r="H245" s="52"/>
    </row>
    <row r="246" spans="1:8" s="11" customFormat="1" ht="31.5">
      <c r="A246" s="51"/>
      <c r="B246" s="44" t="s">
        <v>310</v>
      </c>
      <c r="C246" s="45" t="s">
        <v>60</v>
      </c>
      <c r="D246" s="45" t="s">
        <v>272</v>
      </c>
      <c r="E246" s="46" t="s">
        <v>311</v>
      </c>
      <c r="F246" s="45"/>
      <c r="G246" s="130">
        <f>G247+G252+G257+G250+G255</f>
        <v>3220.002</v>
      </c>
      <c r="H246" s="52"/>
    </row>
    <row r="247" spans="1:8" s="11" customFormat="1" ht="94.5">
      <c r="A247" s="51"/>
      <c r="B247" s="60" t="s">
        <v>312</v>
      </c>
      <c r="C247" s="45" t="s">
        <v>60</v>
      </c>
      <c r="D247" s="45" t="s">
        <v>272</v>
      </c>
      <c r="E247" s="46" t="s">
        <v>313</v>
      </c>
      <c r="F247" s="45"/>
      <c r="G247" s="130">
        <f>G248</f>
        <v>800</v>
      </c>
      <c r="H247" s="52"/>
    </row>
    <row r="248" spans="1:8" s="11" customFormat="1" ht="21.75" customHeight="1">
      <c r="A248" s="51"/>
      <c r="B248" s="44" t="s">
        <v>61</v>
      </c>
      <c r="C248" s="45" t="s">
        <v>60</v>
      </c>
      <c r="D248" s="45" t="s">
        <v>272</v>
      </c>
      <c r="E248" s="46" t="s">
        <v>313</v>
      </c>
      <c r="F248" s="45" t="s">
        <v>62</v>
      </c>
      <c r="G248" s="130">
        <f>800</f>
        <v>800</v>
      </c>
      <c r="H248" s="52"/>
    </row>
    <row r="249" spans="1:8" s="11" customFormat="1" ht="21.75" customHeight="1">
      <c r="A249" s="51"/>
      <c r="B249" s="139" t="s">
        <v>356</v>
      </c>
      <c r="C249" s="45"/>
      <c r="D249" s="45"/>
      <c r="E249" s="46"/>
      <c r="F249" s="45"/>
      <c r="G249" s="164">
        <v>286.2</v>
      </c>
      <c r="H249" s="52"/>
    </row>
    <row r="250" spans="1:8" s="11" customFormat="1" ht="83.25" customHeight="1">
      <c r="A250" s="51"/>
      <c r="B250" s="60" t="s">
        <v>360</v>
      </c>
      <c r="C250" s="45" t="s">
        <v>60</v>
      </c>
      <c r="D250" s="45" t="s">
        <v>272</v>
      </c>
      <c r="E250" s="46" t="s">
        <v>361</v>
      </c>
      <c r="F250" s="45"/>
      <c r="G250" s="130">
        <f>G251</f>
        <v>362.49</v>
      </c>
      <c r="H250" s="52"/>
    </row>
    <row r="251" spans="1:8" s="11" customFormat="1" ht="21.75" customHeight="1">
      <c r="A251" s="51"/>
      <c r="B251" s="44" t="s">
        <v>61</v>
      </c>
      <c r="C251" s="45" t="s">
        <v>60</v>
      </c>
      <c r="D251" s="45" t="s">
        <v>272</v>
      </c>
      <c r="E251" s="46" t="s">
        <v>361</v>
      </c>
      <c r="F251" s="45" t="s">
        <v>62</v>
      </c>
      <c r="G251" s="130">
        <v>362.49</v>
      </c>
      <c r="H251" s="52"/>
    </row>
    <row r="252" spans="1:8" s="11" customFormat="1" ht="63">
      <c r="A252" s="51"/>
      <c r="B252" s="60" t="s">
        <v>363</v>
      </c>
      <c r="C252" s="45" t="s">
        <v>60</v>
      </c>
      <c r="D252" s="45" t="s">
        <v>272</v>
      </c>
      <c r="E252" s="46" t="s">
        <v>362</v>
      </c>
      <c r="F252" s="45"/>
      <c r="G252" s="130">
        <f>G253</f>
        <v>216.01602</v>
      </c>
      <c r="H252" s="52"/>
    </row>
    <row r="253" spans="1:8" s="11" customFormat="1" ht="21.75" customHeight="1">
      <c r="A253" s="51"/>
      <c r="B253" s="44" t="s">
        <v>61</v>
      </c>
      <c r="C253" s="45" t="s">
        <v>60</v>
      </c>
      <c r="D253" s="45" t="s">
        <v>272</v>
      </c>
      <c r="E253" s="46" t="s">
        <v>362</v>
      </c>
      <c r="F253" s="45" t="s">
        <v>62</v>
      </c>
      <c r="G253" s="130">
        <f>0.21602+215.8</f>
        <v>216.01602</v>
      </c>
      <c r="H253" s="52"/>
    </row>
    <row r="254" spans="1:8" s="11" customFormat="1" ht="21.75" customHeight="1">
      <c r="A254" s="51"/>
      <c r="B254" s="139" t="s">
        <v>356</v>
      </c>
      <c r="C254" s="45"/>
      <c r="D254" s="45"/>
      <c r="E254" s="46"/>
      <c r="F254" s="45"/>
      <c r="G254" s="164">
        <v>216.01602</v>
      </c>
      <c r="H254" s="52"/>
    </row>
    <row r="255" spans="1:8" s="11" customFormat="1" ht="47.25">
      <c r="A255" s="51"/>
      <c r="B255" s="60" t="s">
        <v>365</v>
      </c>
      <c r="C255" s="45" t="s">
        <v>60</v>
      </c>
      <c r="D255" s="45" t="s">
        <v>272</v>
      </c>
      <c r="E255" s="46" t="s">
        <v>367</v>
      </c>
      <c r="F255" s="45"/>
      <c r="G255" s="130">
        <f>G256</f>
        <v>979.02</v>
      </c>
      <c r="H255" s="52"/>
    </row>
    <row r="256" spans="1:8" s="11" customFormat="1" ht="15.75">
      <c r="A256" s="51"/>
      <c r="B256" s="44" t="s">
        <v>61</v>
      </c>
      <c r="C256" s="45" t="s">
        <v>60</v>
      </c>
      <c r="D256" s="45" t="s">
        <v>272</v>
      </c>
      <c r="E256" s="46" t="s">
        <v>367</v>
      </c>
      <c r="F256" s="45" t="s">
        <v>62</v>
      </c>
      <c r="G256" s="130">
        <v>979.02</v>
      </c>
      <c r="H256" s="52"/>
    </row>
    <row r="257" spans="1:8" s="11" customFormat="1" ht="63">
      <c r="A257" s="51"/>
      <c r="B257" s="60" t="s">
        <v>364</v>
      </c>
      <c r="C257" s="45" t="s">
        <v>60</v>
      </c>
      <c r="D257" s="45" t="s">
        <v>272</v>
      </c>
      <c r="E257" s="46" t="s">
        <v>366</v>
      </c>
      <c r="F257" s="45"/>
      <c r="G257" s="130">
        <f>G258</f>
        <v>862.47598</v>
      </c>
      <c r="H257" s="52"/>
    </row>
    <row r="258" spans="1:8" s="11" customFormat="1" ht="21.75" customHeight="1">
      <c r="A258" s="51"/>
      <c r="B258" s="44" t="s">
        <v>61</v>
      </c>
      <c r="C258" s="45" t="s">
        <v>60</v>
      </c>
      <c r="D258" s="45" t="s">
        <v>272</v>
      </c>
      <c r="E258" s="46" t="s">
        <v>366</v>
      </c>
      <c r="F258" s="45" t="s">
        <v>62</v>
      </c>
      <c r="G258" s="130">
        <v>862.47598</v>
      </c>
      <c r="H258" s="52"/>
    </row>
    <row r="259" spans="1:8" s="11" customFormat="1" ht="21.75" customHeight="1">
      <c r="A259" s="51"/>
      <c r="B259" s="139" t="s">
        <v>356</v>
      </c>
      <c r="C259" s="45"/>
      <c r="D259" s="45"/>
      <c r="E259" s="46"/>
      <c r="F259" s="45"/>
      <c r="G259" s="164">
        <v>862.47598</v>
      </c>
      <c r="H259" s="52"/>
    </row>
    <row r="260" spans="1:8" s="11" customFormat="1" ht="31.5">
      <c r="A260" s="51"/>
      <c r="B260" s="44" t="s">
        <v>277</v>
      </c>
      <c r="C260" s="45" t="s">
        <v>265</v>
      </c>
      <c r="D260" s="45" t="s">
        <v>272</v>
      </c>
      <c r="E260" s="46" t="s">
        <v>274</v>
      </c>
      <c r="F260" s="45"/>
      <c r="G260" s="130">
        <f>G263+G261</f>
        <v>1748.71999</v>
      </c>
      <c r="H260" s="52"/>
    </row>
    <row r="261" spans="1:8" s="11" customFormat="1" ht="47.25">
      <c r="A261" s="51"/>
      <c r="B261" s="60" t="s">
        <v>368</v>
      </c>
      <c r="C261" s="45" t="s">
        <v>60</v>
      </c>
      <c r="D261" s="45" t="s">
        <v>272</v>
      </c>
      <c r="E261" s="46" t="s">
        <v>370</v>
      </c>
      <c r="F261" s="45"/>
      <c r="G261" s="130">
        <f>G262</f>
        <v>1189.23</v>
      </c>
      <c r="H261" s="52"/>
    </row>
    <row r="262" spans="1:8" s="11" customFormat="1" ht="15.75">
      <c r="A262" s="51"/>
      <c r="B262" s="44" t="s">
        <v>18</v>
      </c>
      <c r="C262" s="45" t="s">
        <v>60</v>
      </c>
      <c r="D262" s="45" t="s">
        <v>272</v>
      </c>
      <c r="E262" s="46" t="s">
        <v>370</v>
      </c>
      <c r="F262" s="45" t="s">
        <v>19</v>
      </c>
      <c r="G262" s="130">
        <f>1189.23</f>
        <v>1189.23</v>
      </c>
      <c r="H262" s="52"/>
    </row>
    <row r="263" spans="1:8" s="11" customFormat="1" ht="63">
      <c r="A263" s="51"/>
      <c r="B263" s="60" t="s">
        <v>369</v>
      </c>
      <c r="C263" s="45" t="s">
        <v>60</v>
      </c>
      <c r="D263" s="45" t="s">
        <v>272</v>
      </c>
      <c r="E263" s="46" t="s">
        <v>371</v>
      </c>
      <c r="F263" s="45"/>
      <c r="G263" s="130">
        <f>G264</f>
        <v>559.48999</v>
      </c>
      <c r="H263" s="52"/>
    </row>
    <row r="264" spans="1:8" s="11" customFormat="1" ht="15.75">
      <c r="A264" s="51"/>
      <c r="B264" s="44" t="s">
        <v>18</v>
      </c>
      <c r="C264" s="45" t="s">
        <v>60</v>
      </c>
      <c r="D264" s="45" t="s">
        <v>272</v>
      </c>
      <c r="E264" s="46" t="s">
        <v>371</v>
      </c>
      <c r="F264" s="45" t="s">
        <v>19</v>
      </c>
      <c r="G264" s="130">
        <v>559.48999</v>
      </c>
      <c r="H264" s="59"/>
    </row>
    <row r="265" spans="1:8" s="11" customFormat="1" ht="15.75">
      <c r="A265" s="51"/>
      <c r="B265" s="139" t="s">
        <v>425</v>
      </c>
      <c r="C265" s="45"/>
      <c r="D265" s="45"/>
      <c r="E265" s="46"/>
      <c r="F265" s="45"/>
      <c r="G265" s="164">
        <v>540.43319</v>
      </c>
      <c r="H265" s="59"/>
    </row>
    <row r="266" spans="1:8" s="10" customFormat="1" ht="15.75">
      <c r="A266" s="51"/>
      <c r="B266" s="44" t="s">
        <v>44</v>
      </c>
      <c r="C266" s="45" t="s">
        <v>60</v>
      </c>
      <c r="D266" s="45" t="s">
        <v>45</v>
      </c>
      <c r="E266" s="46"/>
      <c r="F266" s="45"/>
      <c r="G266" s="130">
        <f>G267</f>
        <v>42617</v>
      </c>
      <c r="H266" s="47"/>
    </row>
    <row r="267" spans="1:8" s="10" customFormat="1" ht="15.75">
      <c r="A267" s="51"/>
      <c r="B267" s="44" t="s">
        <v>46</v>
      </c>
      <c r="C267" s="45" t="s">
        <v>60</v>
      </c>
      <c r="D267" s="45" t="s">
        <v>47</v>
      </c>
      <c r="E267" s="46"/>
      <c r="F267" s="45"/>
      <c r="G267" s="130">
        <f>G268</f>
        <v>42617</v>
      </c>
      <c r="H267" s="47"/>
    </row>
    <row r="268" spans="1:8" s="10" customFormat="1" ht="15.75">
      <c r="A268" s="51"/>
      <c r="B268" s="44" t="s">
        <v>9</v>
      </c>
      <c r="C268" s="45" t="s">
        <v>60</v>
      </c>
      <c r="D268" s="45" t="s">
        <v>47</v>
      </c>
      <c r="E268" s="46" t="s">
        <v>10</v>
      </c>
      <c r="F268" s="45"/>
      <c r="G268" s="130">
        <f>G271+G274+G269</f>
        <v>42617</v>
      </c>
      <c r="H268" s="47"/>
    </row>
    <row r="269" spans="1:8" s="10" customFormat="1" ht="31.5">
      <c r="A269" s="51"/>
      <c r="B269" s="48" t="s">
        <v>400</v>
      </c>
      <c r="C269" s="45" t="s">
        <v>60</v>
      </c>
      <c r="D269" s="45" t="s">
        <v>47</v>
      </c>
      <c r="E269" s="46" t="s">
        <v>99</v>
      </c>
      <c r="F269" s="45"/>
      <c r="G269" s="130">
        <f>G270</f>
        <v>300</v>
      </c>
      <c r="H269" s="47"/>
    </row>
    <row r="270" spans="1:8" s="10" customFormat="1" ht="15.75">
      <c r="A270" s="51"/>
      <c r="B270" s="48" t="s">
        <v>49</v>
      </c>
      <c r="C270" s="45" t="s">
        <v>60</v>
      </c>
      <c r="D270" s="45" t="s">
        <v>47</v>
      </c>
      <c r="E270" s="46" t="s">
        <v>99</v>
      </c>
      <c r="F270" s="45" t="s">
        <v>50</v>
      </c>
      <c r="G270" s="130">
        <f>800-500</f>
        <v>300</v>
      </c>
      <c r="H270" s="47"/>
    </row>
    <row r="271" spans="1:8" s="10" customFormat="1" ht="47.25">
      <c r="A271" s="51"/>
      <c r="B271" s="60" t="s">
        <v>279</v>
      </c>
      <c r="C271" s="45" t="s">
        <v>60</v>
      </c>
      <c r="D271" s="45" t="s">
        <v>47</v>
      </c>
      <c r="E271" s="46" t="s">
        <v>278</v>
      </c>
      <c r="F271" s="45"/>
      <c r="G271" s="130">
        <f>G273+G272</f>
        <v>13576</v>
      </c>
      <c r="H271" s="47"/>
    </row>
    <row r="272" spans="1:8" s="10" customFormat="1" ht="47.25">
      <c r="A272" s="51"/>
      <c r="B272" s="44" t="s">
        <v>11</v>
      </c>
      <c r="C272" s="45" t="s">
        <v>60</v>
      </c>
      <c r="D272" s="45" t="s">
        <v>47</v>
      </c>
      <c r="E272" s="46" t="s">
        <v>278</v>
      </c>
      <c r="F272" s="45" t="s">
        <v>12</v>
      </c>
      <c r="G272" s="130">
        <f>304.14747+91.85253</f>
        <v>396</v>
      </c>
      <c r="H272" s="47"/>
    </row>
    <row r="273" spans="1:8" s="10" customFormat="1" ht="15.75">
      <c r="A273" s="51"/>
      <c r="B273" s="44" t="s">
        <v>20</v>
      </c>
      <c r="C273" s="45" t="s">
        <v>60</v>
      </c>
      <c r="D273" s="45" t="s">
        <v>47</v>
      </c>
      <c r="E273" s="46" t="s">
        <v>278</v>
      </c>
      <c r="F273" s="45" t="s">
        <v>21</v>
      </c>
      <c r="G273" s="130">
        <v>13180</v>
      </c>
      <c r="H273" s="47"/>
    </row>
    <row r="274" spans="1:8" s="10" customFormat="1" ht="31.5">
      <c r="A274" s="51"/>
      <c r="B274" s="44" t="s">
        <v>267</v>
      </c>
      <c r="C274" s="45" t="s">
        <v>60</v>
      </c>
      <c r="D274" s="45" t="s">
        <v>47</v>
      </c>
      <c r="E274" s="46" t="s">
        <v>266</v>
      </c>
      <c r="F274" s="45"/>
      <c r="G274" s="130">
        <f>G275+G276</f>
        <v>28741</v>
      </c>
      <c r="H274" s="47"/>
    </row>
    <row r="275" spans="1:8" s="10" customFormat="1" ht="15.75">
      <c r="A275" s="51"/>
      <c r="B275" s="44" t="s">
        <v>18</v>
      </c>
      <c r="C275" s="45" t="s">
        <v>60</v>
      </c>
      <c r="D275" s="45" t="s">
        <v>47</v>
      </c>
      <c r="E275" s="46" t="s">
        <v>266</v>
      </c>
      <c r="F275" s="45" t="s">
        <v>19</v>
      </c>
      <c r="G275" s="130">
        <f>242+58-31</f>
        <v>269</v>
      </c>
      <c r="H275" s="47"/>
    </row>
    <row r="276" spans="1:8" s="10" customFormat="1" ht="15.75">
      <c r="A276" s="51"/>
      <c r="B276" s="48" t="s">
        <v>49</v>
      </c>
      <c r="C276" s="45" t="s">
        <v>60</v>
      </c>
      <c r="D276" s="45" t="s">
        <v>47</v>
      </c>
      <c r="E276" s="46" t="s">
        <v>266</v>
      </c>
      <c r="F276" s="45" t="s">
        <v>50</v>
      </c>
      <c r="G276" s="130">
        <f>28839-367</f>
        <v>28472</v>
      </c>
      <c r="H276" s="47"/>
    </row>
    <row r="277" spans="1:8" s="12" customFormat="1" ht="15.75">
      <c r="A277" s="38">
        <v>6</v>
      </c>
      <c r="B277" s="146" t="s">
        <v>110</v>
      </c>
      <c r="C277" s="74" t="s">
        <v>111</v>
      </c>
      <c r="D277" s="74"/>
      <c r="E277" s="40"/>
      <c r="F277" s="74"/>
      <c r="G277" s="41">
        <f>G278+G297</f>
        <v>361797.41172</v>
      </c>
      <c r="H277" s="50"/>
    </row>
    <row r="278" spans="1:8" s="10" customFormat="1" ht="15.75">
      <c r="A278" s="51"/>
      <c r="B278" s="44" t="s">
        <v>7</v>
      </c>
      <c r="C278" s="45" t="s">
        <v>111</v>
      </c>
      <c r="D278" s="45" t="s">
        <v>8</v>
      </c>
      <c r="E278" s="46"/>
      <c r="F278" s="45"/>
      <c r="G278" s="130">
        <f>G279+G287</f>
        <v>23459.855139999996</v>
      </c>
      <c r="H278" s="47"/>
    </row>
    <row r="279" spans="1:8" s="10" customFormat="1" ht="31.5">
      <c r="A279" s="51"/>
      <c r="B279" s="44" t="s">
        <v>32</v>
      </c>
      <c r="C279" s="45" t="s">
        <v>111</v>
      </c>
      <c r="D279" s="45" t="s">
        <v>33</v>
      </c>
      <c r="E279" s="46" t="s">
        <v>15</v>
      </c>
      <c r="F279" s="45" t="s">
        <v>15</v>
      </c>
      <c r="G279" s="130">
        <f>G280</f>
        <v>22059.855139999996</v>
      </c>
      <c r="H279" s="47"/>
    </row>
    <row r="280" spans="1:8" s="10" customFormat="1" ht="15.75">
      <c r="A280" s="51"/>
      <c r="B280" s="44" t="s">
        <v>9</v>
      </c>
      <c r="C280" s="45" t="s">
        <v>111</v>
      </c>
      <c r="D280" s="45" t="s">
        <v>33</v>
      </c>
      <c r="E280" s="46" t="s">
        <v>10</v>
      </c>
      <c r="F280" s="45"/>
      <c r="G280" s="130">
        <f>G281</f>
        <v>22059.855139999996</v>
      </c>
      <c r="H280" s="66"/>
    </row>
    <row r="281" spans="1:8" s="20" customFormat="1" ht="31.5">
      <c r="A281" s="61"/>
      <c r="B281" s="44" t="s">
        <v>16</v>
      </c>
      <c r="C281" s="45" t="s">
        <v>111</v>
      </c>
      <c r="D281" s="45" t="s">
        <v>33</v>
      </c>
      <c r="E281" s="46" t="s">
        <v>17</v>
      </c>
      <c r="F281" s="45"/>
      <c r="G281" s="130">
        <f>G282+G286+G284</f>
        <v>22059.855139999996</v>
      </c>
      <c r="H281" s="113"/>
    </row>
    <row r="282" spans="1:8" s="18" customFormat="1" ht="47.25">
      <c r="A282" s="61"/>
      <c r="B282" s="44" t="s">
        <v>11</v>
      </c>
      <c r="C282" s="45" t="s">
        <v>111</v>
      </c>
      <c r="D282" s="45" t="s">
        <v>33</v>
      </c>
      <c r="E282" s="46" t="s">
        <v>17</v>
      </c>
      <c r="F282" s="45" t="s">
        <v>12</v>
      </c>
      <c r="G282" s="130">
        <f>19494.07244+90.8364-113.88085-278.29835</f>
        <v>19192.729639999998</v>
      </c>
      <c r="H282" s="66"/>
    </row>
    <row r="283" spans="1:8" s="18" customFormat="1" ht="15.75">
      <c r="A283" s="61"/>
      <c r="B283" s="139" t="s">
        <v>346</v>
      </c>
      <c r="C283" s="45"/>
      <c r="D283" s="45"/>
      <c r="E283" s="46"/>
      <c r="F283" s="45"/>
      <c r="G283" s="131">
        <f>65.9052+5.02788+19.90332</f>
        <v>90.8364</v>
      </c>
      <c r="H283" s="66"/>
    </row>
    <row r="284" spans="1:8" s="19" customFormat="1" ht="15.75">
      <c r="A284" s="75"/>
      <c r="B284" s="44" t="s">
        <v>18</v>
      </c>
      <c r="C284" s="45" t="s">
        <v>111</v>
      </c>
      <c r="D284" s="45" t="s">
        <v>33</v>
      </c>
      <c r="E284" s="76" t="s">
        <v>17</v>
      </c>
      <c r="F284" s="45" t="s">
        <v>19</v>
      </c>
      <c r="G284" s="130">
        <f>871.05563+1.61964-100+104.99898</f>
        <v>877.6742499999999</v>
      </c>
      <c r="H284" s="114"/>
    </row>
    <row r="285" spans="1:8" s="19" customFormat="1" ht="15.75">
      <c r="A285" s="75"/>
      <c r="B285" s="139" t="s">
        <v>346</v>
      </c>
      <c r="C285" s="45"/>
      <c r="D285" s="45"/>
      <c r="E285" s="46"/>
      <c r="F285" s="45"/>
      <c r="G285" s="131">
        <v>1.61964</v>
      </c>
      <c r="H285" s="114"/>
    </row>
    <row r="286" spans="1:8" s="18" customFormat="1" ht="15.75">
      <c r="A286" s="61"/>
      <c r="B286" s="44" t="s">
        <v>20</v>
      </c>
      <c r="C286" s="45" t="s">
        <v>111</v>
      </c>
      <c r="D286" s="45" t="s">
        <v>33</v>
      </c>
      <c r="E286" s="46" t="s">
        <v>17</v>
      </c>
      <c r="F286" s="45" t="s">
        <v>21</v>
      </c>
      <c r="G286" s="130">
        <f>17.5+693.96722+769.56392+373.98184+0.00102+134.43725</f>
        <v>1989.4512499999998</v>
      </c>
      <c r="H286" s="66"/>
    </row>
    <row r="287" spans="1:8" s="17" customFormat="1" ht="15.75">
      <c r="A287" s="75"/>
      <c r="B287" s="44" t="s">
        <v>40</v>
      </c>
      <c r="C287" s="45" t="s">
        <v>111</v>
      </c>
      <c r="D287" s="45" t="s">
        <v>41</v>
      </c>
      <c r="E287" s="76"/>
      <c r="F287" s="45"/>
      <c r="G287" s="130">
        <f>G288</f>
        <v>1400</v>
      </c>
      <c r="H287" s="49"/>
    </row>
    <row r="288" spans="1:8" s="19" customFormat="1" ht="31.5">
      <c r="A288" s="75"/>
      <c r="B288" s="44" t="s">
        <v>260</v>
      </c>
      <c r="C288" s="45" t="s">
        <v>111</v>
      </c>
      <c r="D288" s="45" t="s">
        <v>41</v>
      </c>
      <c r="E288" s="46" t="s">
        <v>112</v>
      </c>
      <c r="F288" s="45"/>
      <c r="G288" s="130">
        <f>G289+G291+G295+G293</f>
        <v>1400</v>
      </c>
      <c r="H288" s="114"/>
    </row>
    <row r="289" spans="1:8" s="19" customFormat="1" ht="63">
      <c r="A289" s="75"/>
      <c r="B289" s="73" t="s">
        <v>113</v>
      </c>
      <c r="C289" s="45" t="s">
        <v>111</v>
      </c>
      <c r="D289" s="45" t="s">
        <v>41</v>
      </c>
      <c r="E289" s="46" t="s">
        <v>114</v>
      </c>
      <c r="F289" s="45"/>
      <c r="G289" s="130">
        <f>G290</f>
        <v>500</v>
      </c>
      <c r="H289" s="114"/>
    </row>
    <row r="290" spans="1:8" s="19" customFormat="1" ht="15.75">
      <c r="A290" s="58"/>
      <c r="B290" s="44" t="s">
        <v>18</v>
      </c>
      <c r="C290" s="45" t="s">
        <v>111</v>
      </c>
      <c r="D290" s="45" t="s">
        <v>41</v>
      </c>
      <c r="E290" s="46" t="s">
        <v>114</v>
      </c>
      <c r="F290" s="45" t="s">
        <v>19</v>
      </c>
      <c r="G290" s="130">
        <v>500</v>
      </c>
      <c r="H290" s="114"/>
    </row>
    <row r="291" spans="1:8" s="19" customFormat="1" ht="63">
      <c r="A291" s="51"/>
      <c r="B291" s="73" t="s">
        <v>115</v>
      </c>
      <c r="C291" s="45" t="s">
        <v>111</v>
      </c>
      <c r="D291" s="45" t="s">
        <v>41</v>
      </c>
      <c r="E291" s="46" t="s">
        <v>116</v>
      </c>
      <c r="F291" s="45"/>
      <c r="G291" s="130">
        <f>G292</f>
        <v>500</v>
      </c>
      <c r="H291" s="114"/>
    </row>
    <row r="292" spans="1:8" s="19" customFormat="1" ht="15.75">
      <c r="A292" s="51"/>
      <c r="B292" s="44" t="s">
        <v>18</v>
      </c>
      <c r="C292" s="45" t="s">
        <v>111</v>
      </c>
      <c r="D292" s="45" t="s">
        <v>41</v>
      </c>
      <c r="E292" s="46" t="s">
        <v>116</v>
      </c>
      <c r="F292" s="45" t="s">
        <v>19</v>
      </c>
      <c r="G292" s="130">
        <v>500</v>
      </c>
      <c r="H292" s="114"/>
    </row>
    <row r="293" spans="1:8" s="19" customFormat="1" ht="63">
      <c r="A293" s="51"/>
      <c r="B293" s="60" t="s">
        <v>372</v>
      </c>
      <c r="C293" s="45" t="s">
        <v>111</v>
      </c>
      <c r="D293" s="45" t="s">
        <v>41</v>
      </c>
      <c r="E293" s="46" t="s">
        <v>121</v>
      </c>
      <c r="F293" s="45"/>
      <c r="G293" s="130">
        <f>G294</f>
        <v>250</v>
      </c>
      <c r="H293" s="114"/>
    </row>
    <row r="294" spans="1:8" s="19" customFormat="1" ht="15.75">
      <c r="A294" s="51"/>
      <c r="B294" s="44" t="s">
        <v>18</v>
      </c>
      <c r="C294" s="45" t="s">
        <v>111</v>
      </c>
      <c r="D294" s="45" t="s">
        <v>41</v>
      </c>
      <c r="E294" s="46" t="s">
        <v>121</v>
      </c>
      <c r="F294" s="45" t="s">
        <v>19</v>
      </c>
      <c r="G294" s="130">
        <v>250</v>
      </c>
      <c r="H294" s="114"/>
    </row>
    <row r="295" spans="1:8" s="19" customFormat="1" ht="63">
      <c r="A295" s="51"/>
      <c r="B295" s="73" t="s">
        <v>292</v>
      </c>
      <c r="C295" s="45" t="s">
        <v>111</v>
      </c>
      <c r="D295" s="45" t="s">
        <v>41</v>
      </c>
      <c r="E295" s="46" t="s">
        <v>293</v>
      </c>
      <c r="F295" s="45"/>
      <c r="G295" s="130">
        <f>G296</f>
        <v>150</v>
      </c>
      <c r="H295" s="114"/>
    </row>
    <row r="296" spans="1:8" s="19" customFormat="1" ht="15.75">
      <c r="A296" s="51"/>
      <c r="B296" s="44" t="s">
        <v>18</v>
      </c>
      <c r="C296" s="45" t="s">
        <v>111</v>
      </c>
      <c r="D296" s="45" t="s">
        <v>41</v>
      </c>
      <c r="E296" s="46" t="s">
        <v>293</v>
      </c>
      <c r="F296" s="45" t="s">
        <v>19</v>
      </c>
      <c r="G296" s="130">
        <v>150</v>
      </c>
      <c r="H296" s="114"/>
    </row>
    <row r="297" spans="1:8" s="19" customFormat="1" ht="15.75">
      <c r="A297" s="51"/>
      <c r="B297" s="44" t="s">
        <v>69</v>
      </c>
      <c r="C297" s="45" t="s">
        <v>111</v>
      </c>
      <c r="D297" s="45" t="s">
        <v>70</v>
      </c>
      <c r="E297" s="46"/>
      <c r="F297" s="45"/>
      <c r="G297" s="130">
        <f>G298+G325+G319</f>
        <v>338337.55658</v>
      </c>
      <c r="H297" s="114"/>
    </row>
    <row r="298" spans="1:8" s="19" customFormat="1" ht="15.75">
      <c r="A298" s="51"/>
      <c r="B298" s="44" t="s">
        <v>71</v>
      </c>
      <c r="C298" s="80" t="s">
        <v>111</v>
      </c>
      <c r="D298" s="80" t="s">
        <v>72</v>
      </c>
      <c r="E298" s="81"/>
      <c r="F298" s="80"/>
      <c r="G298" s="143">
        <f>G299+G304</f>
        <v>78074.75318</v>
      </c>
      <c r="H298" s="114"/>
    </row>
    <row r="299" spans="1:8" s="19" customFormat="1" ht="31.5">
      <c r="A299" s="51"/>
      <c r="B299" s="44" t="s">
        <v>260</v>
      </c>
      <c r="C299" s="45" t="s">
        <v>111</v>
      </c>
      <c r="D299" s="45" t="s">
        <v>72</v>
      </c>
      <c r="E299" s="46" t="s">
        <v>112</v>
      </c>
      <c r="F299" s="45"/>
      <c r="G299" s="130">
        <f>G300</f>
        <v>6323.703569999999</v>
      </c>
      <c r="H299" s="114"/>
    </row>
    <row r="300" spans="1:8" s="19" customFormat="1" ht="63">
      <c r="A300" s="51"/>
      <c r="B300" s="73" t="s">
        <v>184</v>
      </c>
      <c r="C300" s="45" t="s">
        <v>111</v>
      </c>
      <c r="D300" s="45" t="s">
        <v>72</v>
      </c>
      <c r="E300" s="46" t="s">
        <v>121</v>
      </c>
      <c r="F300" s="45"/>
      <c r="G300" s="130">
        <f>G301+G303</f>
        <v>6323.703569999999</v>
      </c>
      <c r="H300" s="114"/>
    </row>
    <row r="301" spans="1:8" s="19" customFormat="1" ht="15.75">
      <c r="A301" s="51"/>
      <c r="B301" s="44" t="s">
        <v>18</v>
      </c>
      <c r="C301" s="45" t="s">
        <v>111</v>
      </c>
      <c r="D301" s="45" t="s">
        <v>72</v>
      </c>
      <c r="E301" s="46" t="s">
        <v>121</v>
      </c>
      <c r="F301" s="45" t="s">
        <v>19</v>
      </c>
      <c r="G301" s="130">
        <f>4952.21372+857.4922+92+409.99703-1067.87339+1067.87339</f>
        <v>6311.702949999999</v>
      </c>
      <c r="H301" s="114"/>
    </row>
    <row r="302" spans="1:8" s="19" customFormat="1" ht="15.75">
      <c r="A302" s="51"/>
      <c r="B302" s="139" t="s">
        <v>356</v>
      </c>
      <c r="C302" s="45"/>
      <c r="D302" s="45"/>
      <c r="E302" s="46"/>
      <c r="F302" s="45"/>
      <c r="G302" s="164">
        <f>1342+1067.87339</f>
        <v>2409.8733899999997</v>
      </c>
      <c r="H302" s="114"/>
    </row>
    <row r="303" spans="1:8" s="19" customFormat="1" ht="15.75">
      <c r="A303" s="51"/>
      <c r="B303" s="44" t="s">
        <v>20</v>
      </c>
      <c r="C303" s="45" t="s">
        <v>111</v>
      </c>
      <c r="D303" s="45" t="s">
        <v>72</v>
      </c>
      <c r="E303" s="46" t="s">
        <v>121</v>
      </c>
      <c r="F303" s="45" t="s">
        <v>21</v>
      </c>
      <c r="G303" s="130">
        <f>11.00062+1</f>
        <v>12.00062</v>
      </c>
      <c r="H303" s="114"/>
    </row>
    <row r="304" spans="1:8" s="19" customFormat="1" ht="31.5">
      <c r="A304" s="51"/>
      <c r="B304" s="60" t="s">
        <v>185</v>
      </c>
      <c r="C304" s="45" t="s">
        <v>111</v>
      </c>
      <c r="D304" s="45" t="s">
        <v>72</v>
      </c>
      <c r="E304" s="46" t="s">
        <v>117</v>
      </c>
      <c r="F304" s="45"/>
      <c r="G304" s="130">
        <f>G308+G305</f>
        <v>71751.04961</v>
      </c>
      <c r="H304" s="114"/>
    </row>
    <row r="305" spans="1:8" s="19" customFormat="1" ht="31.5">
      <c r="A305" s="51"/>
      <c r="B305" s="60" t="s">
        <v>406</v>
      </c>
      <c r="C305" s="45" t="s">
        <v>111</v>
      </c>
      <c r="D305" s="45" t="s">
        <v>72</v>
      </c>
      <c r="E305" s="46" t="s">
        <v>405</v>
      </c>
      <c r="F305" s="45"/>
      <c r="G305" s="130">
        <f>G306</f>
        <v>150</v>
      </c>
      <c r="H305" s="114"/>
    </row>
    <row r="306" spans="1:8" s="19" customFormat="1" ht="63">
      <c r="A306" s="51"/>
      <c r="B306" s="60" t="s">
        <v>428</v>
      </c>
      <c r="C306" s="45" t="s">
        <v>111</v>
      </c>
      <c r="D306" s="45" t="s">
        <v>72</v>
      </c>
      <c r="E306" s="46" t="s">
        <v>407</v>
      </c>
      <c r="F306" s="45"/>
      <c r="G306" s="130">
        <f>G307</f>
        <v>150</v>
      </c>
      <c r="H306" s="114"/>
    </row>
    <row r="307" spans="1:8" s="19" customFormat="1" ht="15.75">
      <c r="A307" s="51"/>
      <c r="B307" s="60" t="s">
        <v>18</v>
      </c>
      <c r="C307" s="45" t="s">
        <v>111</v>
      </c>
      <c r="D307" s="45" t="s">
        <v>72</v>
      </c>
      <c r="E307" s="46" t="s">
        <v>407</v>
      </c>
      <c r="F307" s="45" t="s">
        <v>19</v>
      </c>
      <c r="G307" s="130">
        <v>150</v>
      </c>
      <c r="H307" s="114"/>
    </row>
    <row r="308" spans="1:8" s="19" customFormat="1" ht="31.5">
      <c r="A308" s="51"/>
      <c r="B308" s="60" t="s">
        <v>186</v>
      </c>
      <c r="C308" s="45" t="s">
        <v>111</v>
      </c>
      <c r="D308" s="45" t="s">
        <v>72</v>
      </c>
      <c r="E308" s="46" t="s">
        <v>187</v>
      </c>
      <c r="F308" s="45"/>
      <c r="G308" s="130">
        <f>G311+G317+G314+G309</f>
        <v>71601.04961</v>
      </c>
      <c r="H308" s="114"/>
    </row>
    <row r="309" spans="1:8" s="19" customFormat="1" ht="78.75">
      <c r="A309" s="51"/>
      <c r="B309" s="60" t="s">
        <v>429</v>
      </c>
      <c r="C309" s="45" t="s">
        <v>111</v>
      </c>
      <c r="D309" s="45" t="s">
        <v>72</v>
      </c>
      <c r="E309" s="46" t="s">
        <v>408</v>
      </c>
      <c r="F309" s="45"/>
      <c r="G309" s="130">
        <f>G310</f>
        <v>5500</v>
      </c>
      <c r="H309" s="114"/>
    </row>
    <row r="310" spans="1:8" s="19" customFormat="1" ht="15.75">
      <c r="A310" s="51"/>
      <c r="B310" s="60" t="s">
        <v>349</v>
      </c>
      <c r="C310" s="45" t="s">
        <v>111</v>
      </c>
      <c r="D310" s="45" t="s">
        <v>72</v>
      </c>
      <c r="E310" s="46" t="s">
        <v>408</v>
      </c>
      <c r="F310" s="45" t="s">
        <v>350</v>
      </c>
      <c r="G310" s="130">
        <v>5500</v>
      </c>
      <c r="H310" s="114"/>
    </row>
    <row r="311" spans="1:8" s="19" customFormat="1" ht="63">
      <c r="A311" s="51"/>
      <c r="B311" s="73" t="s">
        <v>347</v>
      </c>
      <c r="C311" s="45" t="s">
        <v>111</v>
      </c>
      <c r="D311" s="45" t="s">
        <v>72</v>
      </c>
      <c r="E311" s="46" t="s">
        <v>348</v>
      </c>
      <c r="F311" s="45"/>
      <c r="G311" s="130">
        <f>G313</f>
        <v>56725.25108</v>
      </c>
      <c r="H311" s="114"/>
    </row>
    <row r="312" spans="1:8" s="19" customFormat="1" ht="15.75">
      <c r="A312" s="51"/>
      <c r="B312" s="44" t="s">
        <v>349</v>
      </c>
      <c r="C312" s="45" t="s">
        <v>111</v>
      </c>
      <c r="D312" s="45" t="s">
        <v>72</v>
      </c>
      <c r="E312" s="46" t="s">
        <v>348</v>
      </c>
      <c r="F312" s="45" t="s">
        <v>350</v>
      </c>
      <c r="G312" s="130">
        <f>G313</f>
        <v>56725.25108</v>
      </c>
      <c r="H312" s="114"/>
    </row>
    <row r="313" spans="1:8" s="19" customFormat="1" ht="15.75">
      <c r="A313" s="51"/>
      <c r="B313" s="139" t="s">
        <v>373</v>
      </c>
      <c r="C313" s="45"/>
      <c r="D313" s="45"/>
      <c r="E313" s="46"/>
      <c r="F313" s="45"/>
      <c r="G313" s="131">
        <f>51924.68163+4800.56945</f>
        <v>56725.25108</v>
      </c>
      <c r="H313" s="114"/>
    </row>
    <row r="314" spans="1:8" s="19" customFormat="1" ht="63">
      <c r="A314" s="51"/>
      <c r="B314" s="73" t="s">
        <v>347</v>
      </c>
      <c r="C314" s="45" t="s">
        <v>111</v>
      </c>
      <c r="D314" s="45" t="s">
        <v>72</v>
      </c>
      <c r="E314" s="46" t="s">
        <v>374</v>
      </c>
      <c r="F314" s="45"/>
      <c r="G314" s="130">
        <f>G315</f>
        <v>9267.064139999999</v>
      </c>
      <c r="H314" s="114"/>
    </row>
    <row r="315" spans="1:8" s="19" customFormat="1" ht="15.75">
      <c r="A315" s="51"/>
      <c r="B315" s="44" t="s">
        <v>349</v>
      </c>
      <c r="C315" s="45" t="s">
        <v>111</v>
      </c>
      <c r="D315" s="45" t="s">
        <v>72</v>
      </c>
      <c r="E315" s="46" t="s">
        <v>374</v>
      </c>
      <c r="F315" s="45" t="s">
        <v>350</v>
      </c>
      <c r="G315" s="130">
        <f>G316</f>
        <v>9267.064139999999</v>
      </c>
      <c r="H315" s="114"/>
    </row>
    <row r="316" spans="1:8" s="19" customFormat="1" ht="15.75">
      <c r="A316" s="51"/>
      <c r="B316" s="160" t="s">
        <v>207</v>
      </c>
      <c r="C316" s="45"/>
      <c r="D316" s="45"/>
      <c r="E316" s="46"/>
      <c r="F316" s="45"/>
      <c r="G316" s="131">
        <f>8911.3396+355.72454</f>
        <v>9267.064139999999</v>
      </c>
      <c r="H316" s="114"/>
    </row>
    <row r="317" spans="1:8" s="19" customFormat="1" ht="63">
      <c r="A317" s="51"/>
      <c r="B317" s="73" t="s">
        <v>353</v>
      </c>
      <c r="C317" s="45" t="s">
        <v>111</v>
      </c>
      <c r="D317" s="45" t="s">
        <v>72</v>
      </c>
      <c r="E317" s="46" t="s">
        <v>354</v>
      </c>
      <c r="F317" s="45"/>
      <c r="G317" s="130">
        <f>G318</f>
        <v>108.73439</v>
      </c>
      <c r="H317" s="114"/>
    </row>
    <row r="318" spans="1:8" s="19" customFormat="1" ht="15.75">
      <c r="A318" s="51"/>
      <c r="B318" s="44" t="s">
        <v>349</v>
      </c>
      <c r="C318" s="45" t="s">
        <v>111</v>
      </c>
      <c r="D318" s="45" t="s">
        <v>72</v>
      </c>
      <c r="E318" s="46" t="s">
        <v>354</v>
      </c>
      <c r="F318" s="45" t="s">
        <v>350</v>
      </c>
      <c r="G318" s="130">
        <f>83.4+25.33439</f>
        <v>108.73439</v>
      </c>
      <c r="H318" s="114"/>
    </row>
    <row r="319" spans="1:8" s="19" customFormat="1" ht="15.75">
      <c r="A319" s="51"/>
      <c r="B319" s="44" t="s">
        <v>76</v>
      </c>
      <c r="C319" s="80" t="s">
        <v>111</v>
      </c>
      <c r="D319" s="80" t="s">
        <v>77</v>
      </c>
      <c r="E319" s="81"/>
      <c r="F319" s="80"/>
      <c r="G319" s="143">
        <f>G320</f>
        <v>252091.1444</v>
      </c>
      <c r="H319" s="114"/>
    </row>
    <row r="320" spans="1:8" s="19" customFormat="1" ht="31.5">
      <c r="A320" s="51"/>
      <c r="B320" s="44" t="s">
        <v>240</v>
      </c>
      <c r="C320" s="45" t="s">
        <v>111</v>
      </c>
      <c r="D320" s="45" t="s">
        <v>77</v>
      </c>
      <c r="E320" s="46" t="s">
        <v>79</v>
      </c>
      <c r="F320" s="45"/>
      <c r="G320" s="130">
        <f>G321</f>
        <v>252091.1444</v>
      </c>
      <c r="H320" s="114"/>
    </row>
    <row r="321" spans="1:8" s="19" customFormat="1" ht="31.5">
      <c r="A321" s="51"/>
      <c r="B321" s="69" t="s">
        <v>223</v>
      </c>
      <c r="C321" s="45" t="s">
        <v>111</v>
      </c>
      <c r="D321" s="45" t="s">
        <v>77</v>
      </c>
      <c r="E321" s="46" t="s">
        <v>80</v>
      </c>
      <c r="F321" s="45"/>
      <c r="G321" s="130">
        <f>G322</f>
        <v>252091.1444</v>
      </c>
      <c r="H321" s="114"/>
    </row>
    <row r="322" spans="1:8" s="19" customFormat="1" ht="47.25">
      <c r="A322" s="51"/>
      <c r="B322" s="60" t="s">
        <v>375</v>
      </c>
      <c r="C322" s="45" t="s">
        <v>111</v>
      </c>
      <c r="D322" s="45" t="s">
        <v>77</v>
      </c>
      <c r="E322" s="46" t="s">
        <v>376</v>
      </c>
      <c r="F322" s="45"/>
      <c r="G322" s="130">
        <f>G323</f>
        <v>252091.1444</v>
      </c>
      <c r="H322" s="114"/>
    </row>
    <row r="323" spans="1:8" s="19" customFormat="1" ht="15.75">
      <c r="A323" s="51"/>
      <c r="B323" s="44" t="s">
        <v>349</v>
      </c>
      <c r="C323" s="45" t="s">
        <v>111</v>
      </c>
      <c r="D323" s="45" t="s">
        <v>77</v>
      </c>
      <c r="E323" s="46" t="s">
        <v>376</v>
      </c>
      <c r="F323" s="45" t="s">
        <v>350</v>
      </c>
      <c r="G323" s="130">
        <f>G324</f>
        <v>252091.1444</v>
      </c>
      <c r="H323" s="114"/>
    </row>
    <row r="324" spans="1:8" s="19" customFormat="1" ht="15.75">
      <c r="A324" s="51"/>
      <c r="B324" s="160" t="s">
        <v>247</v>
      </c>
      <c r="C324" s="45"/>
      <c r="D324" s="45"/>
      <c r="E324" s="46"/>
      <c r="F324" s="45"/>
      <c r="G324" s="131">
        <v>252091.1444</v>
      </c>
      <c r="H324" s="114"/>
    </row>
    <row r="325" spans="1:8" s="19" customFormat="1" ht="15.75">
      <c r="A325" s="51"/>
      <c r="B325" s="44" t="s">
        <v>96</v>
      </c>
      <c r="C325" s="45" t="s">
        <v>111</v>
      </c>
      <c r="D325" s="45" t="s">
        <v>97</v>
      </c>
      <c r="E325" s="46"/>
      <c r="F325" s="45"/>
      <c r="G325" s="130">
        <f>G326</f>
        <v>8171.659</v>
      </c>
      <c r="H325" s="114"/>
    </row>
    <row r="326" spans="1:8" s="19" customFormat="1" ht="15.75">
      <c r="A326" s="51"/>
      <c r="B326" s="44" t="s">
        <v>9</v>
      </c>
      <c r="C326" s="45" t="s">
        <v>111</v>
      </c>
      <c r="D326" s="45" t="s">
        <v>97</v>
      </c>
      <c r="E326" s="46" t="s">
        <v>10</v>
      </c>
      <c r="F326" s="45"/>
      <c r="G326" s="130">
        <f>G327</f>
        <v>8171.659</v>
      </c>
      <c r="H326" s="114"/>
    </row>
    <row r="327" spans="1:8" s="19" customFormat="1" ht="15.75">
      <c r="A327" s="51"/>
      <c r="B327" s="44" t="s">
        <v>351</v>
      </c>
      <c r="C327" s="45" t="s">
        <v>111</v>
      </c>
      <c r="D327" s="45" t="s">
        <v>97</v>
      </c>
      <c r="E327" s="46" t="s">
        <v>352</v>
      </c>
      <c r="F327" s="45"/>
      <c r="G327" s="130">
        <f>G328</f>
        <v>8171.659</v>
      </c>
      <c r="H327" s="114"/>
    </row>
    <row r="328" spans="1:8" s="19" customFormat="1" ht="15.75">
      <c r="A328" s="51"/>
      <c r="B328" s="44" t="s">
        <v>18</v>
      </c>
      <c r="C328" s="45" t="s">
        <v>111</v>
      </c>
      <c r="D328" s="45" t="s">
        <v>97</v>
      </c>
      <c r="E328" s="46" t="s">
        <v>352</v>
      </c>
      <c r="F328" s="45" t="s">
        <v>19</v>
      </c>
      <c r="G328" s="130">
        <f>152.52438+1817.80753+1840.07132-145.00304+4506.25881</f>
        <v>8171.659</v>
      </c>
      <c r="H328" s="114"/>
    </row>
    <row r="329" spans="1:8" s="12" customFormat="1" ht="15.75">
      <c r="A329" s="38">
        <v>7</v>
      </c>
      <c r="B329" s="39" t="s">
        <v>118</v>
      </c>
      <c r="C329" s="74" t="s">
        <v>119</v>
      </c>
      <c r="D329" s="74"/>
      <c r="E329" s="40"/>
      <c r="F329" s="74"/>
      <c r="G329" s="41">
        <f>G330+G375</f>
        <v>27941.67082</v>
      </c>
      <c r="H329" s="116"/>
    </row>
    <row r="330" spans="1:8" s="10" customFormat="1" ht="15.75">
      <c r="A330" s="51"/>
      <c r="B330" s="44" t="s">
        <v>7</v>
      </c>
      <c r="C330" s="45" t="s">
        <v>119</v>
      </c>
      <c r="D330" s="45" t="s">
        <v>8</v>
      </c>
      <c r="E330" s="46"/>
      <c r="F330" s="45"/>
      <c r="G330" s="130">
        <f>G331+G341</f>
        <v>24831.67082</v>
      </c>
      <c r="H330" s="66"/>
    </row>
    <row r="331" spans="1:8" s="10" customFormat="1" ht="31.5">
      <c r="A331" s="51"/>
      <c r="B331" s="44" t="s">
        <v>32</v>
      </c>
      <c r="C331" s="45" t="s">
        <v>119</v>
      </c>
      <c r="D331" s="45" t="s">
        <v>33</v>
      </c>
      <c r="E331" s="46" t="s">
        <v>15</v>
      </c>
      <c r="F331" s="45" t="s">
        <v>15</v>
      </c>
      <c r="G331" s="130">
        <f>G332</f>
        <v>10208.65408</v>
      </c>
      <c r="H331" s="66"/>
    </row>
    <row r="332" spans="1:8" s="10" customFormat="1" ht="15.75">
      <c r="A332" s="51"/>
      <c r="B332" s="44" t="s">
        <v>9</v>
      </c>
      <c r="C332" s="45" t="s">
        <v>119</v>
      </c>
      <c r="D332" s="45" t="s">
        <v>33</v>
      </c>
      <c r="E332" s="46" t="s">
        <v>10</v>
      </c>
      <c r="F332" s="45"/>
      <c r="G332" s="130">
        <f>G333+G339</f>
        <v>10208.65408</v>
      </c>
      <c r="H332" s="66"/>
    </row>
    <row r="333" spans="1:8" s="10" customFormat="1" ht="31.5">
      <c r="A333" s="51"/>
      <c r="B333" s="44" t="s">
        <v>16</v>
      </c>
      <c r="C333" s="45" t="s">
        <v>119</v>
      </c>
      <c r="D333" s="45" t="s">
        <v>33</v>
      </c>
      <c r="E333" s="46" t="s">
        <v>17</v>
      </c>
      <c r="F333" s="45"/>
      <c r="G333" s="130">
        <f>G334+G336+G338</f>
        <v>9831.20858</v>
      </c>
      <c r="H333" s="66"/>
    </row>
    <row r="334" spans="1:8" s="10" customFormat="1" ht="47.25">
      <c r="A334" s="51"/>
      <c r="B334" s="44" t="s">
        <v>11</v>
      </c>
      <c r="C334" s="45" t="s">
        <v>119</v>
      </c>
      <c r="D334" s="45" t="s">
        <v>33</v>
      </c>
      <c r="E334" s="46" t="s">
        <v>17</v>
      </c>
      <c r="F334" s="45" t="s">
        <v>12</v>
      </c>
      <c r="G334" s="130">
        <f>16140.89475-2216.1068-250-654.16391-618.4-2234.94467-674.95329</f>
        <v>9492.32608</v>
      </c>
      <c r="H334" s="66"/>
    </row>
    <row r="335" spans="1:8" s="10" customFormat="1" ht="15.75">
      <c r="A335" s="51"/>
      <c r="B335" s="161" t="s">
        <v>339</v>
      </c>
      <c r="C335" s="45"/>
      <c r="D335" s="45"/>
      <c r="E335" s="46"/>
      <c r="F335" s="45"/>
      <c r="G335" s="131">
        <f>102.83+31.055</f>
        <v>133.885</v>
      </c>
      <c r="H335" s="66"/>
    </row>
    <row r="336" spans="1:8" s="16" customFormat="1" ht="15.75">
      <c r="A336" s="77"/>
      <c r="B336" s="60" t="s">
        <v>18</v>
      </c>
      <c r="C336" s="45" t="s">
        <v>119</v>
      </c>
      <c r="D336" s="45" t="s">
        <v>33</v>
      </c>
      <c r="E336" s="46" t="s">
        <v>17</v>
      </c>
      <c r="F336" s="45" t="s">
        <v>19</v>
      </c>
      <c r="G336" s="130">
        <f>2492.4-2466.285+54.4</f>
        <v>80.51500000000024</v>
      </c>
      <c r="H336" s="115"/>
    </row>
    <row r="337" spans="1:8" s="16" customFormat="1" ht="15.75">
      <c r="A337" s="77"/>
      <c r="B337" s="161" t="s">
        <v>339</v>
      </c>
      <c r="C337" s="45"/>
      <c r="D337" s="45"/>
      <c r="E337" s="46"/>
      <c r="F337" s="45"/>
      <c r="G337" s="131">
        <v>16.115</v>
      </c>
      <c r="H337" s="115"/>
    </row>
    <row r="338" spans="1:8" s="16" customFormat="1" ht="15.75">
      <c r="A338" s="77"/>
      <c r="B338" s="48" t="s">
        <v>49</v>
      </c>
      <c r="C338" s="45" t="s">
        <v>119</v>
      </c>
      <c r="D338" s="45" t="s">
        <v>33</v>
      </c>
      <c r="E338" s="46" t="s">
        <v>17</v>
      </c>
      <c r="F338" s="45" t="s">
        <v>50</v>
      </c>
      <c r="G338" s="130">
        <f>50+618.4-110-300.0325</f>
        <v>258.36749999999995</v>
      </c>
      <c r="H338" s="115"/>
    </row>
    <row r="339" spans="1:8" s="16" customFormat="1" ht="15.75">
      <c r="A339" s="77"/>
      <c r="B339" s="48" t="s">
        <v>351</v>
      </c>
      <c r="C339" s="45" t="s">
        <v>119</v>
      </c>
      <c r="D339" s="45" t="s">
        <v>33</v>
      </c>
      <c r="E339" s="46" t="s">
        <v>352</v>
      </c>
      <c r="F339" s="45"/>
      <c r="G339" s="130">
        <f>G340</f>
        <v>377.4455</v>
      </c>
      <c r="H339" s="115"/>
    </row>
    <row r="340" spans="1:8" s="16" customFormat="1" ht="15.75">
      <c r="A340" s="77"/>
      <c r="B340" s="48" t="s">
        <v>20</v>
      </c>
      <c r="C340" s="45" t="s">
        <v>119</v>
      </c>
      <c r="D340" s="45" t="s">
        <v>33</v>
      </c>
      <c r="E340" s="46" t="s">
        <v>352</v>
      </c>
      <c r="F340" s="45" t="s">
        <v>21</v>
      </c>
      <c r="G340" s="130">
        <v>377.4455</v>
      </c>
      <c r="H340" s="115"/>
    </row>
    <row r="341" spans="1:8" s="10" customFormat="1" ht="15.75">
      <c r="A341" s="51"/>
      <c r="B341" s="44" t="s">
        <v>40</v>
      </c>
      <c r="C341" s="45" t="s">
        <v>119</v>
      </c>
      <c r="D341" s="45" t="s">
        <v>41</v>
      </c>
      <c r="E341" s="46"/>
      <c r="F341" s="45"/>
      <c r="G341" s="130">
        <f>G342+G361+G350+G369</f>
        <v>14623.016740000001</v>
      </c>
      <c r="H341" s="66"/>
    </row>
    <row r="342" spans="1:8" s="21" customFormat="1" ht="31.5">
      <c r="A342" s="75"/>
      <c r="B342" s="44" t="s">
        <v>260</v>
      </c>
      <c r="C342" s="45" t="s">
        <v>119</v>
      </c>
      <c r="D342" s="45" t="s">
        <v>41</v>
      </c>
      <c r="E342" s="46" t="s">
        <v>112</v>
      </c>
      <c r="F342" s="45"/>
      <c r="G342" s="130">
        <f>G343+G346+G348</f>
        <v>2096.51602</v>
      </c>
      <c r="H342" s="117"/>
    </row>
    <row r="343" spans="1:8" s="19" customFormat="1" ht="63">
      <c r="A343" s="51"/>
      <c r="B343" s="60" t="s">
        <v>120</v>
      </c>
      <c r="C343" s="45" t="s">
        <v>119</v>
      </c>
      <c r="D343" s="45" t="s">
        <v>41</v>
      </c>
      <c r="E343" s="46" t="s">
        <v>123</v>
      </c>
      <c r="F343" s="45"/>
      <c r="G343" s="130">
        <f>G344</f>
        <v>1500</v>
      </c>
      <c r="H343" s="114"/>
    </row>
    <row r="344" spans="1:8" s="19" customFormat="1" ht="15.75">
      <c r="A344" s="51"/>
      <c r="B344" s="44" t="s">
        <v>18</v>
      </c>
      <c r="C344" s="45" t="s">
        <v>119</v>
      </c>
      <c r="D344" s="45" t="s">
        <v>41</v>
      </c>
      <c r="E344" s="46" t="s">
        <v>123</v>
      </c>
      <c r="F344" s="45" t="s">
        <v>19</v>
      </c>
      <c r="G344" s="130">
        <f>G345+1500-49</f>
        <v>1500</v>
      </c>
      <c r="H344" s="114"/>
    </row>
    <row r="345" spans="1:8" s="19" customFormat="1" ht="15.75">
      <c r="A345" s="51"/>
      <c r="B345" s="161" t="s">
        <v>425</v>
      </c>
      <c r="C345" s="45"/>
      <c r="D345" s="45"/>
      <c r="E345" s="46"/>
      <c r="F345" s="45"/>
      <c r="G345" s="164">
        <v>49</v>
      </c>
      <c r="H345" s="114"/>
    </row>
    <row r="346" spans="1:8" s="19" customFormat="1" ht="63">
      <c r="A346" s="51"/>
      <c r="B346" s="60" t="s">
        <v>122</v>
      </c>
      <c r="C346" s="45" t="s">
        <v>119</v>
      </c>
      <c r="D346" s="45" t="s">
        <v>41</v>
      </c>
      <c r="E346" s="46" t="s">
        <v>189</v>
      </c>
      <c r="F346" s="45"/>
      <c r="G346" s="130">
        <f>G347</f>
        <v>500</v>
      </c>
      <c r="H346" s="114"/>
    </row>
    <row r="347" spans="1:8" s="19" customFormat="1" ht="15.75">
      <c r="A347" s="51"/>
      <c r="B347" s="44" t="s">
        <v>18</v>
      </c>
      <c r="C347" s="45" t="s">
        <v>119</v>
      </c>
      <c r="D347" s="45" t="s">
        <v>41</v>
      </c>
      <c r="E347" s="46" t="s">
        <v>189</v>
      </c>
      <c r="F347" s="45" t="s">
        <v>19</v>
      </c>
      <c r="G347" s="130">
        <v>500</v>
      </c>
      <c r="H347" s="114"/>
    </row>
    <row r="348" spans="1:8" s="19" customFormat="1" ht="63">
      <c r="A348" s="51"/>
      <c r="B348" s="60" t="s">
        <v>331</v>
      </c>
      <c r="C348" s="45" t="s">
        <v>119</v>
      </c>
      <c r="D348" s="45" t="s">
        <v>41</v>
      </c>
      <c r="E348" s="46" t="s">
        <v>257</v>
      </c>
      <c r="F348" s="45"/>
      <c r="G348" s="130">
        <f>G349</f>
        <v>96.51602</v>
      </c>
      <c r="H348" s="114"/>
    </row>
    <row r="349" spans="1:8" s="19" customFormat="1" ht="15.75">
      <c r="A349" s="51"/>
      <c r="B349" s="44" t="s">
        <v>18</v>
      </c>
      <c r="C349" s="45" t="s">
        <v>119</v>
      </c>
      <c r="D349" s="45" t="s">
        <v>41</v>
      </c>
      <c r="E349" s="46" t="s">
        <v>257</v>
      </c>
      <c r="F349" s="45" t="s">
        <v>19</v>
      </c>
      <c r="G349" s="130">
        <f>300-203.48398</f>
        <v>96.51602</v>
      </c>
      <c r="H349" s="114"/>
    </row>
    <row r="350" spans="1:8" s="19" customFormat="1" ht="31.5">
      <c r="A350" s="51"/>
      <c r="B350" s="44" t="s">
        <v>316</v>
      </c>
      <c r="C350" s="45" t="s">
        <v>119</v>
      </c>
      <c r="D350" s="45" t="s">
        <v>41</v>
      </c>
      <c r="E350" s="46" t="s">
        <v>317</v>
      </c>
      <c r="F350" s="45"/>
      <c r="G350" s="130">
        <f>G353+G357+G351+G355+G359</f>
        <v>1423.8639799999999</v>
      </c>
      <c r="H350" s="114"/>
    </row>
    <row r="351" spans="1:8" s="19" customFormat="1" ht="79.5" customHeight="1">
      <c r="A351" s="51"/>
      <c r="B351" s="60" t="s">
        <v>340</v>
      </c>
      <c r="C351" s="45" t="s">
        <v>119</v>
      </c>
      <c r="D351" s="45" t="s">
        <v>41</v>
      </c>
      <c r="E351" s="46" t="s">
        <v>341</v>
      </c>
      <c r="F351" s="45"/>
      <c r="G351" s="130">
        <f>G352</f>
        <v>59.48398</v>
      </c>
      <c r="H351" s="114"/>
    </row>
    <row r="352" spans="1:8" s="19" customFormat="1" ht="15.75">
      <c r="A352" s="51"/>
      <c r="B352" s="44" t="s">
        <v>18</v>
      </c>
      <c r="C352" s="45" t="s">
        <v>119</v>
      </c>
      <c r="D352" s="45" t="s">
        <v>41</v>
      </c>
      <c r="E352" s="46" t="s">
        <v>341</v>
      </c>
      <c r="F352" s="45" t="s">
        <v>19</v>
      </c>
      <c r="G352" s="130">
        <v>59.48398</v>
      </c>
      <c r="H352" s="114"/>
    </row>
    <row r="353" spans="1:8" s="19" customFormat="1" ht="63">
      <c r="A353" s="51"/>
      <c r="B353" s="73" t="s">
        <v>318</v>
      </c>
      <c r="C353" s="45" t="s">
        <v>119</v>
      </c>
      <c r="D353" s="45" t="s">
        <v>41</v>
      </c>
      <c r="E353" s="46" t="s">
        <v>319</v>
      </c>
      <c r="F353" s="45"/>
      <c r="G353" s="130">
        <f>G354</f>
        <v>98</v>
      </c>
      <c r="H353" s="114"/>
    </row>
    <row r="354" spans="1:8" s="19" customFormat="1" ht="15.75">
      <c r="A354" s="51"/>
      <c r="B354" s="44" t="s">
        <v>18</v>
      </c>
      <c r="C354" s="45" t="s">
        <v>119</v>
      </c>
      <c r="D354" s="45" t="s">
        <v>41</v>
      </c>
      <c r="E354" s="46" t="s">
        <v>319</v>
      </c>
      <c r="F354" s="45" t="s">
        <v>19</v>
      </c>
      <c r="G354" s="130">
        <f>98-59.48398+59.48398</f>
        <v>98</v>
      </c>
      <c r="H354" s="114"/>
    </row>
    <row r="355" spans="1:8" s="19" customFormat="1" ht="78.75">
      <c r="A355" s="51"/>
      <c r="B355" s="60" t="s">
        <v>378</v>
      </c>
      <c r="C355" s="45" t="s">
        <v>119</v>
      </c>
      <c r="D355" s="45" t="s">
        <v>41</v>
      </c>
      <c r="E355" s="46" t="s">
        <v>377</v>
      </c>
      <c r="F355" s="45"/>
      <c r="G355" s="130">
        <f>G356</f>
        <v>966.2964</v>
      </c>
      <c r="H355" s="114"/>
    </row>
    <row r="356" spans="1:8" s="19" customFormat="1" ht="15.75">
      <c r="A356" s="51"/>
      <c r="B356" s="44" t="s">
        <v>18</v>
      </c>
      <c r="C356" s="45" t="s">
        <v>119</v>
      </c>
      <c r="D356" s="45" t="s">
        <v>41</v>
      </c>
      <c r="E356" s="46" t="s">
        <v>377</v>
      </c>
      <c r="F356" s="45" t="s">
        <v>19</v>
      </c>
      <c r="G356" s="130">
        <f>966.2964</f>
        <v>966.2964</v>
      </c>
      <c r="H356" s="114"/>
    </row>
    <row r="357" spans="1:8" s="19" customFormat="1" ht="78.75">
      <c r="A357" s="51"/>
      <c r="B357" s="73" t="s">
        <v>321</v>
      </c>
      <c r="C357" s="45" t="s">
        <v>119</v>
      </c>
      <c r="D357" s="45" t="s">
        <v>41</v>
      </c>
      <c r="E357" s="46" t="s">
        <v>320</v>
      </c>
      <c r="F357" s="45"/>
      <c r="G357" s="130">
        <f>G358</f>
        <v>200</v>
      </c>
      <c r="H357" s="114"/>
    </row>
    <row r="358" spans="1:8" s="19" customFormat="1" ht="15.75">
      <c r="A358" s="51"/>
      <c r="B358" s="44" t="s">
        <v>18</v>
      </c>
      <c r="C358" s="45" t="s">
        <v>119</v>
      </c>
      <c r="D358" s="45" t="s">
        <v>41</v>
      </c>
      <c r="E358" s="46" t="s">
        <v>320</v>
      </c>
      <c r="F358" s="45" t="s">
        <v>19</v>
      </c>
      <c r="G358" s="130">
        <v>200</v>
      </c>
      <c r="H358" s="114"/>
    </row>
    <row r="359" spans="1:8" s="19" customFormat="1" ht="63">
      <c r="A359" s="51"/>
      <c r="B359" s="60" t="s">
        <v>411</v>
      </c>
      <c r="C359" s="45" t="s">
        <v>119</v>
      </c>
      <c r="D359" s="45" t="s">
        <v>41</v>
      </c>
      <c r="E359" s="46" t="s">
        <v>410</v>
      </c>
      <c r="F359" s="45"/>
      <c r="G359" s="130">
        <f>G360</f>
        <v>100.0836</v>
      </c>
      <c r="H359" s="114"/>
    </row>
    <row r="360" spans="1:8" s="19" customFormat="1" ht="15.75">
      <c r="A360" s="51"/>
      <c r="B360" s="44" t="s">
        <v>18</v>
      </c>
      <c r="C360" s="45" t="s">
        <v>119</v>
      </c>
      <c r="D360" s="45" t="s">
        <v>41</v>
      </c>
      <c r="E360" s="46" t="s">
        <v>410</v>
      </c>
      <c r="F360" s="45" t="s">
        <v>19</v>
      </c>
      <c r="G360" s="130">
        <v>100.0836</v>
      </c>
      <c r="H360" s="114"/>
    </row>
    <row r="361" spans="1:8" s="13" customFormat="1" ht="31.5">
      <c r="A361" s="61"/>
      <c r="B361" s="69" t="s">
        <v>185</v>
      </c>
      <c r="C361" s="45" t="s">
        <v>119</v>
      </c>
      <c r="D361" s="45" t="s">
        <v>41</v>
      </c>
      <c r="E361" s="46" t="s">
        <v>117</v>
      </c>
      <c r="F361" s="45"/>
      <c r="G361" s="130">
        <f>G362+G365</f>
        <v>2650.5830699999997</v>
      </c>
      <c r="H361" s="118"/>
    </row>
    <row r="362" spans="1:8" s="13" customFormat="1" ht="15.75">
      <c r="A362" s="61"/>
      <c r="B362" s="69" t="s">
        <v>190</v>
      </c>
      <c r="C362" s="45" t="s">
        <v>119</v>
      </c>
      <c r="D362" s="45" t="s">
        <v>41</v>
      </c>
      <c r="E362" s="46" t="s">
        <v>124</v>
      </c>
      <c r="F362" s="45"/>
      <c r="G362" s="130">
        <f>G363</f>
        <v>2006.5830699999997</v>
      </c>
      <c r="H362" s="118"/>
    </row>
    <row r="363" spans="1:8" s="11" customFormat="1" ht="47.25">
      <c r="A363" s="61"/>
      <c r="B363" s="69" t="s">
        <v>330</v>
      </c>
      <c r="C363" s="45" t="s">
        <v>119</v>
      </c>
      <c r="D363" s="45" t="s">
        <v>41</v>
      </c>
      <c r="E363" s="46" t="s">
        <v>329</v>
      </c>
      <c r="F363" s="45"/>
      <c r="G363" s="130">
        <f>G364</f>
        <v>2006.5830699999997</v>
      </c>
      <c r="H363" s="64"/>
    </row>
    <row r="364" spans="1:8" s="11" customFormat="1" ht="15.75">
      <c r="A364" s="61"/>
      <c r="B364" s="44" t="s">
        <v>18</v>
      </c>
      <c r="C364" s="45" t="s">
        <v>119</v>
      </c>
      <c r="D364" s="45" t="s">
        <v>41</v>
      </c>
      <c r="E364" s="46" t="s">
        <v>329</v>
      </c>
      <c r="F364" s="45" t="s">
        <v>19</v>
      </c>
      <c r="G364" s="130">
        <f>3500-310-477.5291-705.88783</f>
        <v>2006.5830699999997</v>
      </c>
      <c r="H364" s="123"/>
    </row>
    <row r="365" spans="1:8" s="13" customFormat="1" ht="31.5">
      <c r="A365" s="61"/>
      <c r="B365" s="69" t="s">
        <v>235</v>
      </c>
      <c r="C365" s="45" t="s">
        <v>119</v>
      </c>
      <c r="D365" s="45" t="s">
        <v>41</v>
      </c>
      <c r="E365" s="46" t="s">
        <v>125</v>
      </c>
      <c r="F365" s="45"/>
      <c r="G365" s="130">
        <f>G366</f>
        <v>644</v>
      </c>
      <c r="H365" s="118"/>
    </row>
    <row r="366" spans="1:8" s="11" customFormat="1" ht="63">
      <c r="A366" s="61"/>
      <c r="B366" s="69" t="s">
        <v>236</v>
      </c>
      <c r="C366" s="45" t="s">
        <v>119</v>
      </c>
      <c r="D366" s="45" t="s">
        <v>41</v>
      </c>
      <c r="E366" s="46" t="s">
        <v>237</v>
      </c>
      <c r="F366" s="45"/>
      <c r="G366" s="130">
        <f>G367</f>
        <v>644</v>
      </c>
      <c r="H366" s="64"/>
    </row>
    <row r="367" spans="1:8" s="11" customFormat="1" ht="15.75">
      <c r="A367" s="61"/>
      <c r="B367" s="44" t="s">
        <v>18</v>
      </c>
      <c r="C367" s="45" t="s">
        <v>119</v>
      </c>
      <c r="D367" s="45" t="s">
        <v>41</v>
      </c>
      <c r="E367" s="46" t="s">
        <v>237</v>
      </c>
      <c r="F367" s="45" t="s">
        <v>19</v>
      </c>
      <c r="G367" s="130">
        <f>500-40+G368</f>
        <v>644</v>
      </c>
      <c r="H367" s="65"/>
    </row>
    <row r="368" spans="1:8" s="11" customFormat="1" ht="15.75">
      <c r="A368" s="61"/>
      <c r="B368" s="139" t="s">
        <v>425</v>
      </c>
      <c r="C368" s="45"/>
      <c r="D368" s="45"/>
      <c r="E368" s="46"/>
      <c r="F368" s="45"/>
      <c r="G368" s="164">
        <v>184</v>
      </c>
      <c r="H368" s="65"/>
    </row>
    <row r="369" spans="1:8" s="11" customFormat="1" ht="15.75">
      <c r="A369" s="61"/>
      <c r="B369" s="79" t="s">
        <v>9</v>
      </c>
      <c r="C369" s="80" t="s">
        <v>119</v>
      </c>
      <c r="D369" s="80" t="s">
        <v>41</v>
      </c>
      <c r="E369" s="81" t="s">
        <v>10</v>
      </c>
      <c r="F369" s="80"/>
      <c r="G369" s="130">
        <f>G370</f>
        <v>8452.053670000001</v>
      </c>
      <c r="H369" s="65"/>
    </row>
    <row r="370" spans="1:8" s="11" customFormat="1" ht="31.5">
      <c r="A370" s="61"/>
      <c r="B370" s="44" t="s">
        <v>342</v>
      </c>
      <c r="C370" s="45" t="s">
        <v>119</v>
      </c>
      <c r="D370" s="45" t="s">
        <v>41</v>
      </c>
      <c r="E370" s="46" t="s">
        <v>343</v>
      </c>
      <c r="F370" s="45"/>
      <c r="G370" s="130">
        <f>G371+G372+G373+G374</f>
        <v>8452.053670000001</v>
      </c>
      <c r="H370" s="65"/>
    </row>
    <row r="371" spans="1:8" s="11" customFormat="1" ht="47.25">
      <c r="A371" s="61"/>
      <c r="B371" s="44" t="s">
        <v>11</v>
      </c>
      <c r="C371" s="45" t="s">
        <v>119</v>
      </c>
      <c r="D371" s="45" t="s">
        <v>41</v>
      </c>
      <c r="E371" s="46" t="s">
        <v>343</v>
      </c>
      <c r="F371" s="45" t="s">
        <v>12</v>
      </c>
      <c r="G371" s="130">
        <f>2268.9368+250+685.21891+2234.94467-0.5+674.95329</f>
        <v>6113.55367</v>
      </c>
      <c r="H371" s="65"/>
    </row>
    <row r="372" spans="1:8" s="11" customFormat="1" ht="15.75">
      <c r="A372" s="61"/>
      <c r="B372" s="44" t="s">
        <v>18</v>
      </c>
      <c r="C372" s="45" t="s">
        <v>119</v>
      </c>
      <c r="D372" s="45" t="s">
        <v>41</v>
      </c>
      <c r="E372" s="46" t="s">
        <v>343</v>
      </c>
      <c r="F372" s="45" t="s">
        <v>19</v>
      </c>
      <c r="G372" s="130">
        <f>2482.4-200-54.4</f>
        <v>2228</v>
      </c>
      <c r="H372" s="65"/>
    </row>
    <row r="373" spans="1:8" s="11" customFormat="1" ht="15.75">
      <c r="A373" s="61"/>
      <c r="B373" s="44" t="s">
        <v>49</v>
      </c>
      <c r="C373" s="45" t="s">
        <v>119</v>
      </c>
      <c r="D373" s="45" t="s">
        <v>41</v>
      </c>
      <c r="E373" s="46" t="s">
        <v>343</v>
      </c>
      <c r="F373" s="45" t="s">
        <v>50</v>
      </c>
      <c r="G373" s="130">
        <v>110</v>
      </c>
      <c r="H373" s="65"/>
    </row>
    <row r="374" spans="1:8" s="11" customFormat="1" ht="15.75">
      <c r="A374" s="61"/>
      <c r="B374" s="44" t="s">
        <v>20</v>
      </c>
      <c r="C374" s="45" t="s">
        <v>119</v>
      </c>
      <c r="D374" s="45" t="s">
        <v>41</v>
      </c>
      <c r="E374" s="46" t="s">
        <v>343</v>
      </c>
      <c r="F374" s="45" t="s">
        <v>21</v>
      </c>
      <c r="G374" s="130">
        <v>0.5</v>
      </c>
      <c r="H374" s="65"/>
    </row>
    <row r="375" spans="1:8" s="11" customFormat="1" ht="15.75">
      <c r="A375" s="61"/>
      <c r="B375" s="44" t="s">
        <v>69</v>
      </c>
      <c r="C375" s="45" t="s">
        <v>119</v>
      </c>
      <c r="D375" s="45" t="s">
        <v>70</v>
      </c>
      <c r="E375" s="46"/>
      <c r="F375" s="45"/>
      <c r="G375" s="130">
        <f>G376</f>
        <v>3110</v>
      </c>
      <c r="H375" s="65"/>
    </row>
    <row r="376" spans="1:8" s="11" customFormat="1" ht="15.75">
      <c r="A376" s="61"/>
      <c r="B376" s="44" t="s">
        <v>83</v>
      </c>
      <c r="C376" s="45" t="s">
        <v>119</v>
      </c>
      <c r="D376" s="45" t="s">
        <v>84</v>
      </c>
      <c r="E376" s="46"/>
      <c r="F376" s="45"/>
      <c r="G376" s="130">
        <f>G377</f>
        <v>3110</v>
      </c>
      <c r="H376" s="65"/>
    </row>
    <row r="377" spans="1:8" s="11" customFormat="1" ht="31.5">
      <c r="A377" s="61"/>
      <c r="B377" s="44" t="s">
        <v>191</v>
      </c>
      <c r="C377" s="45" t="s">
        <v>119</v>
      </c>
      <c r="D377" s="45" t="s">
        <v>84</v>
      </c>
      <c r="E377" s="46" t="s">
        <v>67</v>
      </c>
      <c r="F377" s="45"/>
      <c r="G377" s="130">
        <f>G378</f>
        <v>3110</v>
      </c>
      <c r="H377" s="65"/>
    </row>
    <row r="378" spans="1:8" s="11" customFormat="1" ht="15.75">
      <c r="A378" s="61"/>
      <c r="B378" s="44" t="s">
        <v>85</v>
      </c>
      <c r="C378" s="45" t="s">
        <v>119</v>
      </c>
      <c r="D378" s="45" t="s">
        <v>84</v>
      </c>
      <c r="E378" s="46" t="s">
        <v>86</v>
      </c>
      <c r="F378" s="45"/>
      <c r="G378" s="130">
        <f>G379</f>
        <v>3110</v>
      </c>
      <c r="H378" s="65"/>
    </row>
    <row r="379" spans="1:8" s="11" customFormat="1" ht="78.75">
      <c r="A379" s="61"/>
      <c r="B379" s="60" t="s">
        <v>335</v>
      </c>
      <c r="C379" s="45" t="s">
        <v>119</v>
      </c>
      <c r="D379" s="45" t="s">
        <v>84</v>
      </c>
      <c r="E379" s="46" t="s">
        <v>334</v>
      </c>
      <c r="F379" s="45"/>
      <c r="G379" s="130">
        <f>G380</f>
        <v>3110</v>
      </c>
      <c r="H379" s="65"/>
    </row>
    <row r="380" spans="1:8" s="11" customFormat="1" ht="15.75">
      <c r="A380" s="61"/>
      <c r="B380" s="44" t="s">
        <v>18</v>
      </c>
      <c r="C380" s="45" t="s">
        <v>119</v>
      </c>
      <c r="D380" s="45" t="s">
        <v>84</v>
      </c>
      <c r="E380" s="46" t="s">
        <v>334</v>
      </c>
      <c r="F380" s="45" t="s">
        <v>19</v>
      </c>
      <c r="G380" s="130">
        <f>2800+310</f>
        <v>3110</v>
      </c>
      <c r="H380" s="65"/>
    </row>
    <row r="381" spans="1:8" s="11" customFormat="1" ht="15.75">
      <c r="A381" s="61"/>
      <c r="B381" s="139" t="s">
        <v>356</v>
      </c>
      <c r="C381" s="45"/>
      <c r="D381" s="45"/>
      <c r="E381" s="46"/>
      <c r="F381" s="45"/>
      <c r="G381" s="164">
        <v>3000</v>
      </c>
      <c r="H381" s="65"/>
    </row>
    <row r="382" spans="1:8" s="12" customFormat="1" ht="31.5">
      <c r="A382" s="38">
        <v>8</v>
      </c>
      <c r="B382" s="39" t="s">
        <v>127</v>
      </c>
      <c r="C382" s="74" t="s">
        <v>128</v>
      </c>
      <c r="D382" s="74"/>
      <c r="E382" s="40"/>
      <c r="F382" s="74"/>
      <c r="G382" s="41">
        <f>G403+G412+G433+G445+G383+G390</f>
        <v>123694.5508</v>
      </c>
      <c r="H382" s="50"/>
    </row>
    <row r="383" spans="1:8" s="12" customFormat="1" ht="15.75">
      <c r="A383" s="120"/>
      <c r="B383" s="44" t="s">
        <v>7</v>
      </c>
      <c r="C383" s="45" t="s">
        <v>128</v>
      </c>
      <c r="D383" s="45" t="s">
        <v>8</v>
      </c>
      <c r="E383" s="46"/>
      <c r="F383" s="45"/>
      <c r="G383" s="130">
        <f>G384</f>
        <v>12112.97555</v>
      </c>
      <c r="H383" s="50"/>
    </row>
    <row r="384" spans="1:8" s="12" customFormat="1" ht="31.5">
      <c r="A384" s="120"/>
      <c r="B384" s="44" t="s">
        <v>32</v>
      </c>
      <c r="C384" s="45" t="s">
        <v>128</v>
      </c>
      <c r="D384" s="45" t="s">
        <v>33</v>
      </c>
      <c r="E384" s="46" t="s">
        <v>15</v>
      </c>
      <c r="F384" s="45" t="s">
        <v>15</v>
      </c>
      <c r="G384" s="130">
        <f>G385</f>
        <v>12112.97555</v>
      </c>
      <c r="H384" s="50"/>
    </row>
    <row r="385" spans="1:8" s="12" customFormat="1" ht="15.75">
      <c r="A385" s="120"/>
      <c r="B385" s="44" t="s">
        <v>9</v>
      </c>
      <c r="C385" s="45" t="s">
        <v>128</v>
      </c>
      <c r="D385" s="45" t="s">
        <v>33</v>
      </c>
      <c r="E385" s="46" t="s">
        <v>10</v>
      </c>
      <c r="F385" s="45"/>
      <c r="G385" s="130">
        <f>G386</f>
        <v>12112.97555</v>
      </c>
      <c r="H385" s="50"/>
    </row>
    <row r="386" spans="1:8" s="12" customFormat="1" ht="31.5">
      <c r="A386" s="120"/>
      <c r="B386" s="44" t="s">
        <v>16</v>
      </c>
      <c r="C386" s="45" t="s">
        <v>128</v>
      </c>
      <c r="D386" s="45" t="s">
        <v>33</v>
      </c>
      <c r="E386" s="46" t="s">
        <v>17</v>
      </c>
      <c r="F386" s="45"/>
      <c r="G386" s="130">
        <f>G387+G389+G388</f>
        <v>12112.97555</v>
      </c>
      <c r="H386" s="50"/>
    </row>
    <row r="387" spans="1:8" s="12" customFormat="1" ht="47.25">
      <c r="A387" s="120"/>
      <c r="B387" s="44" t="s">
        <v>11</v>
      </c>
      <c r="C387" s="45" t="s">
        <v>128</v>
      </c>
      <c r="D387" s="45" t="s">
        <v>33</v>
      </c>
      <c r="E387" s="46" t="s">
        <v>17</v>
      </c>
      <c r="F387" s="45" t="s">
        <v>12</v>
      </c>
      <c r="G387" s="130">
        <f>11715.41348+121.0924+36.56991-150</f>
        <v>11723.075789999999</v>
      </c>
      <c r="H387" s="50"/>
    </row>
    <row r="388" spans="1:8" s="12" customFormat="1" ht="15.75">
      <c r="A388" s="120"/>
      <c r="B388" s="44" t="s">
        <v>18</v>
      </c>
      <c r="C388" s="45" t="s">
        <v>128</v>
      </c>
      <c r="D388" s="45" t="s">
        <v>33</v>
      </c>
      <c r="E388" s="46" t="s">
        <v>17</v>
      </c>
      <c r="F388" s="45" t="s">
        <v>19</v>
      </c>
      <c r="G388" s="130">
        <f>342.89976-130+100+70</f>
        <v>382.89976</v>
      </c>
      <c r="H388" s="50"/>
    </row>
    <row r="389" spans="1:8" s="12" customFormat="1" ht="15.75">
      <c r="A389" s="120"/>
      <c r="B389" s="79" t="s">
        <v>20</v>
      </c>
      <c r="C389" s="45" t="s">
        <v>128</v>
      </c>
      <c r="D389" s="45" t="s">
        <v>33</v>
      </c>
      <c r="E389" s="46" t="s">
        <v>17</v>
      </c>
      <c r="F389" s="45" t="s">
        <v>21</v>
      </c>
      <c r="G389" s="130">
        <f>2+5</f>
        <v>7</v>
      </c>
      <c r="H389" s="50"/>
    </row>
    <row r="390" spans="1:8" s="12" customFormat="1" ht="15.75">
      <c r="A390" s="120"/>
      <c r="B390" s="44" t="s">
        <v>69</v>
      </c>
      <c r="C390" s="45" t="s">
        <v>128</v>
      </c>
      <c r="D390" s="45" t="s">
        <v>70</v>
      </c>
      <c r="E390" s="46"/>
      <c r="F390" s="45"/>
      <c r="G390" s="130">
        <f>G391</f>
        <v>24416.537599999996</v>
      </c>
      <c r="H390" s="50"/>
    </row>
    <row r="391" spans="1:8" s="12" customFormat="1" ht="15.75">
      <c r="A391" s="120"/>
      <c r="B391" s="44" t="s">
        <v>83</v>
      </c>
      <c r="C391" s="45" t="s">
        <v>128</v>
      </c>
      <c r="D391" s="45" t="s">
        <v>84</v>
      </c>
      <c r="E391" s="46"/>
      <c r="F391" s="45"/>
      <c r="G391" s="130">
        <f>G397+G392</f>
        <v>24416.537599999996</v>
      </c>
      <c r="H391" s="50"/>
    </row>
    <row r="392" spans="1:8" s="12" customFormat="1" ht="31.5">
      <c r="A392" s="120"/>
      <c r="B392" s="44" t="s">
        <v>191</v>
      </c>
      <c r="C392" s="45" t="s">
        <v>128</v>
      </c>
      <c r="D392" s="45" t="s">
        <v>84</v>
      </c>
      <c r="E392" s="46" t="s">
        <v>67</v>
      </c>
      <c r="F392" s="45"/>
      <c r="G392" s="130">
        <f>G393</f>
        <v>14692.495599999998</v>
      </c>
      <c r="H392" s="50"/>
    </row>
    <row r="393" spans="1:8" s="12" customFormat="1" ht="15.75">
      <c r="A393" s="120"/>
      <c r="B393" s="44" t="s">
        <v>126</v>
      </c>
      <c r="C393" s="45" t="s">
        <v>128</v>
      </c>
      <c r="D393" s="45" t="s">
        <v>84</v>
      </c>
      <c r="E393" s="46" t="s">
        <v>68</v>
      </c>
      <c r="F393" s="45"/>
      <c r="G393" s="130">
        <f>G394</f>
        <v>14692.495599999998</v>
      </c>
      <c r="H393" s="50"/>
    </row>
    <row r="394" spans="1:8" s="12" customFormat="1" ht="78.75">
      <c r="A394" s="120"/>
      <c r="B394" s="60" t="s">
        <v>430</v>
      </c>
      <c r="C394" s="45" t="s">
        <v>128</v>
      </c>
      <c r="D394" s="45" t="s">
        <v>84</v>
      </c>
      <c r="E394" s="46" t="s">
        <v>359</v>
      </c>
      <c r="F394" s="45"/>
      <c r="G394" s="130">
        <f>G395</f>
        <v>14692.495599999998</v>
      </c>
      <c r="H394" s="50"/>
    </row>
    <row r="395" spans="1:8" s="12" customFormat="1" ht="15.75">
      <c r="A395" s="120"/>
      <c r="B395" s="44" t="s">
        <v>61</v>
      </c>
      <c r="C395" s="45" t="s">
        <v>128</v>
      </c>
      <c r="D395" s="45" t="s">
        <v>84</v>
      </c>
      <c r="E395" s="46" t="s">
        <v>359</v>
      </c>
      <c r="F395" s="45" t="s">
        <v>62</v>
      </c>
      <c r="G395" s="130">
        <f>G396</f>
        <v>14692.495599999998</v>
      </c>
      <c r="H395" s="50"/>
    </row>
    <row r="396" spans="1:8" s="12" customFormat="1" ht="15.75">
      <c r="A396" s="120"/>
      <c r="B396" s="160" t="s">
        <v>247</v>
      </c>
      <c r="C396" s="45"/>
      <c r="D396" s="45"/>
      <c r="E396" s="46"/>
      <c r="F396" s="45"/>
      <c r="G396" s="131">
        <f>12077.4826+2615.013</f>
        <v>14692.495599999998</v>
      </c>
      <c r="H396" s="50"/>
    </row>
    <row r="397" spans="1:8" s="12" customFormat="1" ht="31.5">
      <c r="A397" s="120"/>
      <c r="B397" s="69" t="s">
        <v>241</v>
      </c>
      <c r="C397" s="45" t="s">
        <v>128</v>
      </c>
      <c r="D397" s="45" t="s">
        <v>84</v>
      </c>
      <c r="E397" s="46" t="s">
        <v>222</v>
      </c>
      <c r="F397" s="141"/>
      <c r="G397" s="130">
        <f>G398+G400</f>
        <v>9724.042</v>
      </c>
      <c r="H397" s="50"/>
    </row>
    <row r="398" spans="1:8" s="12" customFormat="1" ht="47.25">
      <c r="A398" s="120"/>
      <c r="B398" s="69" t="s">
        <v>332</v>
      </c>
      <c r="C398" s="45" t="s">
        <v>128</v>
      </c>
      <c r="D398" s="45" t="s">
        <v>84</v>
      </c>
      <c r="E398" s="46" t="s">
        <v>271</v>
      </c>
      <c r="F398" s="141"/>
      <c r="G398" s="130">
        <f>G399</f>
        <v>8500</v>
      </c>
      <c r="H398" s="50"/>
    </row>
    <row r="399" spans="1:8" s="12" customFormat="1" ht="15.75">
      <c r="A399" s="120"/>
      <c r="B399" s="69" t="s">
        <v>61</v>
      </c>
      <c r="C399" s="45" t="s">
        <v>128</v>
      </c>
      <c r="D399" s="45" t="s">
        <v>84</v>
      </c>
      <c r="E399" s="46" t="s">
        <v>271</v>
      </c>
      <c r="F399" s="141" t="s">
        <v>62</v>
      </c>
      <c r="G399" s="130">
        <f>8500</f>
        <v>8500</v>
      </c>
      <c r="H399" s="50"/>
    </row>
    <row r="400" spans="1:8" s="12" customFormat="1" ht="47.25">
      <c r="A400" s="120"/>
      <c r="B400" s="69" t="s">
        <v>333</v>
      </c>
      <c r="C400" s="45" t="s">
        <v>128</v>
      </c>
      <c r="D400" s="45" t="s">
        <v>84</v>
      </c>
      <c r="E400" s="46" t="s">
        <v>301</v>
      </c>
      <c r="F400" s="141"/>
      <c r="G400" s="130">
        <f>G401</f>
        <v>1224.042</v>
      </c>
      <c r="H400" s="50"/>
    </row>
    <row r="401" spans="1:8" s="12" customFormat="1" ht="15.75">
      <c r="A401" s="120"/>
      <c r="B401" s="69" t="s">
        <v>61</v>
      </c>
      <c r="C401" s="45" t="s">
        <v>128</v>
      </c>
      <c r="D401" s="45" t="s">
        <v>84</v>
      </c>
      <c r="E401" s="46" t="s">
        <v>301</v>
      </c>
      <c r="F401" s="141" t="s">
        <v>62</v>
      </c>
      <c r="G401" s="130">
        <f>G402</f>
        <v>1224.042</v>
      </c>
      <c r="H401" s="50"/>
    </row>
    <row r="402" spans="1:8" s="12" customFormat="1" ht="15.75">
      <c r="A402" s="120"/>
      <c r="B402" s="139" t="s">
        <v>356</v>
      </c>
      <c r="C402" s="45"/>
      <c r="D402" s="45"/>
      <c r="E402" s="46"/>
      <c r="F402" s="45"/>
      <c r="G402" s="164">
        <f>700+524.042</f>
        <v>1224.042</v>
      </c>
      <c r="H402" s="50"/>
    </row>
    <row r="403" spans="1:8" s="23" customFormat="1" ht="15.75">
      <c r="A403" s="83"/>
      <c r="B403" s="79" t="s">
        <v>129</v>
      </c>
      <c r="C403" s="80" t="s">
        <v>128</v>
      </c>
      <c r="D403" s="80" t="s">
        <v>130</v>
      </c>
      <c r="E403" s="81"/>
      <c r="F403" s="80"/>
      <c r="G403" s="130">
        <f>G404</f>
        <v>220</v>
      </c>
      <c r="H403" s="82"/>
    </row>
    <row r="404" spans="1:8" s="23" customFormat="1" ht="15.75">
      <c r="A404" s="83"/>
      <c r="B404" s="79" t="s">
        <v>251</v>
      </c>
      <c r="C404" s="80" t="s">
        <v>128</v>
      </c>
      <c r="D404" s="80" t="s">
        <v>131</v>
      </c>
      <c r="E404" s="81"/>
      <c r="F404" s="80"/>
      <c r="G404" s="130">
        <f>G405</f>
        <v>220</v>
      </c>
      <c r="H404" s="82"/>
    </row>
    <row r="405" spans="1:8" s="23" customFormat="1" ht="31.5">
      <c r="A405" s="83"/>
      <c r="B405" s="79" t="s">
        <v>192</v>
      </c>
      <c r="C405" s="80" t="s">
        <v>128</v>
      </c>
      <c r="D405" s="80" t="s">
        <v>131</v>
      </c>
      <c r="E405" s="81" t="s">
        <v>132</v>
      </c>
      <c r="F405" s="80"/>
      <c r="G405" s="130">
        <f>G406</f>
        <v>220</v>
      </c>
      <c r="H405" s="82"/>
    </row>
    <row r="406" spans="1:8" s="23" customFormat="1" ht="15.75">
      <c r="A406" s="83"/>
      <c r="B406" s="79" t="s">
        <v>196</v>
      </c>
      <c r="C406" s="80" t="s">
        <v>128</v>
      </c>
      <c r="D406" s="80" t="s">
        <v>131</v>
      </c>
      <c r="E406" s="81" t="s">
        <v>195</v>
      </c>
      <c r="F406" s="80"/>
      <c r="G406" s="130">
        <f>G407+G410</f>
        <v>220</v>
      </c>
      <c r="H406" s="82"/>
    </row>
    <row r="407" spans="1:8" s="23" customFormat="1" ht="63">
      <c r="A407" s="83"/>
      <c r="B407" s="85" t="s">
        <v>133</v>
      </c>
      <c r="C407" s="80" t="s">
        <v>128</v>
      </c>
      <c r="D407" s="80" t="s">
        <v>131</v>
      </c>
      <c r="E407" s="81" t="s">
        <v>197</v>
      </c>
      <c r="F407" s="80"/>
      <c r="G407" s="130">
        <f>G408</f>
        <v>160</v>
      </c>
      <c r="H407" s="82"/>
    </row>
    <row r="408" spans="1:8" s="24" customFormat="1" ht="15.75">
      <c r="A408" s="83"/>
      <c r="B408" s="79" t="s">
        <v>18</v>
      </c>
      <c r="C408" s="80" t="s">
        <v>128</v>
      </c>
      <c r="D408" s="80" t="s">
        <v>131</v>
      </c>
      <c r="E408" s="81" t="s">
        <v>197</v>
      </c>
      <c r="F408" s="80" t="s">
        <v>19</v>
      </c>
      <c r="G408" s="130">
        <f>G409+60+100-98.21</f>
        <v>160</v>
      </c>
      <c r="H408" s="86"/>
    </row>
    <row r="409" spans="1:8" s="24" customFormat="1" ht="15.75">
      <c r="A409" s="83"/>
      <c r="B409" s="128" t="s">
        <v>356</v>
      </c>
      <c r="C409" s="80"/>
      <c r="D409" s="80"/>
      <c r="E409" s="81"/>
      <c r="F409" s="80"/>
      <c r="G409" s="164">
        <v>98.21</v>
      </c>
      <c r="H409" s="86"/>
    </row>
    <row r="410" spans="1:8" s="23" customFormat="1" ht="47.25">
      <c r="A410" s="83"/>
      <c r="B410" s="85" t="s">
        <v>134</v>
      </c>
      <c r="C410" s="80" t="s">
        <v>128</v>
      </c>
      <c r="D410" s="80" t="s">
        <v>131</v>
      </c>
      <c r="E410" s="81" t="s">
        <v>198</v>
      </c>
      <c r="F410" s="80"/>
      <c r="G410" s="130">
        <f>G411</f>
        <v>60</v>
      </c>
      <c r="H410" s="82"/>
    </row>
    <row r="411" spans="1:8" s="24" customFormat="1" ht="15.75">
      <c r="A411" s="83"/>
      <c r="B411" s="79" t="s">
        <v>18</v>
      </c>
      <c r="C411" s="80" t="s">
        <v>128</v>
      </c>
      <c r="D411" s="80" t="s">
        <v>131</v>
      </c>
      <c r="E411" s="81" t="s">
        <v>198</v>
      </c>
      <c r="F411" s="80" t="s">
        <v>19</v>
      </c>
      <c r="G411" s="130">
        <v>60</v>
      </c>
      <c r="H411" s="86"/>
    </row>
    <row r="412" spans="1:8" s="23" customFormat="1" ht="15.75">
      <c r="A412" s="78" t="s">
        <v>135</v>
      </c>
      <c r="B412" s="87" t="s">
        <v>136</v>
      </c>
      <c r="C412" s="80" t="s">
        <v>128</v>
      </c>
      <c r="D412" s="80" t="s">
        <v>137</v>
      </c>
      <c r="E412" s="81"/>
      <c r="F412" s="80"/>
      <c r="G412" s="130">
        <f>G413</f>
        <v>36231.04075</v>
      </c>
      <c r="H412" s="88"/>
    </row>
    <row r="413" spans="1:8" s="23" customFormat="1" ht="15.75">
      <c r="A413" s="78"/>
      <c r="B413" s="79" t="s">
        <v>138</v>
      </c>
      <c r="C413" s="80" t="s">
        <v>128</v>
      </c>
      <c r="D413" s="80" t="s">
        <v>139</v>
      </c>
      <c r="E413" s="81"/>
      <c r="F413" s="80"/>
      <c r="G413" s="130">
        <f>G428+G414</f>
        <v>36231.04075</v>
      </c>
      <c r="H413" s="88"/>
    </row>
    <row r="414" spans="1:8" s="23" customFormat="1" ht="15.75">
      <c r="A414" s="78"/>
      <c r="B414" s="79" t="s">
        <v>201</v>
      </c>
      <c r="C414" s="80" t="s">
        <v>128</v>
      </c>
      <c r="D414" s="80" t="s">
        <v>139</v>
      </c>
      <c r="E414" s="81" t="s">
        <v>140</v>
      </c>
      <c r="F414" s="80"/>
      <c r="G414" s="130">
        <f>G415+G419</f>
        <v>874.95156</v>
      </c>
      <c r="H414" s="88"/>
    </row>
    <row r="415" spans="1:8" s="23" customFormat="1" ht="15.75">
      <c r="A415" s="78"/>
      <c r="B415" s="79" t="s">
        <v>202</v>
      </c>
      <c r="C415" s="80" t="s">
        <v>128</v>
      </c>
      <c r="D415" s="80" t="s">
        <v>139</v>
      </c>
      <c r="E415" s="81" t="s">
        <v>203</v>
      </c>
      <c r="F415" s="80"/>
      <c r="G415" s="130">
        <f>G416</f>
        <v>642</v>
      </c>
      <c r="H415" s="88"/>
    </row>
    <row r="416" spans="1:8" s="23" customFormat="1" ht="94.5">
      <c r="A416" s="78"/>
      <c r="B416" s="84" t="s">
        <v>290</v>
      </c>
      <c r="C416" s="80" t="s">
        <v>128</v>
      </c>
      <c r="D416" s="80" t="s">
        <v>139</v>
      </c>
      <c r="E416" s="81" t="s">
        <v>204</v>
      </c>
      <c r="F416" s="80"/>
      <c r="G416" s="130">
        <f>G417</f>
        <v>642</v>
      </c>
      <c r="H416" s="88"/>
    </row>
    <row r="417" spans="1:8" s="23" customFormat="1" ht="15.75">
      <c r="A417" s="78"/>
      <c r="B417" s="79" t="s">
        <v>18</v>
      </c>
      <c r="C417" s="80" t="s">
        <v>128</v>
      </c>
      <c r="D417" s="80" t="s">
        <v>139</v>
      </c>
      <c r="E417" s="81" t="s">
        <v>204</v>
      </c>
      <c r="F417" s="80" t="s">
        <v>19</v>
      </c>
      <c r="G417" s="130">
        <f>G418+492-41.18+150</f>
        <v>642</v>
      </c>
      <c r="H417" s="88"/>
    </row>
    <row r="418" spans="1:8" s="23" customFormat="1" ht="15.75">
      <c r="A418" s="78"/>
      <c r="B418" s="128" t="s">
        <v>412</v>
      </c>
      <c r="C418" s="80"/>
      <c r="D418" s="80"/>
      <c r="E418" s="81"/>
      <c r="F418" s="80"/>
      <c r="G418" s="164">
        <v>41.18</v>
      </c>
      <c r="H418" s="88"/>
    </row>
    <row r="419" spans="1:8" s="23" customFormat="1" ht="15.75">
      <c r="A419" s="78"/>
      <c r="B419" s="85" t="s">
        <v>382</v>
      </c>
      <c r="C419" s="80" t="s">
        <v>128</v>
      </c>
      <c r="D419" s="80" t="s">
        <v>139</v>
      </c>
      <c r="E419" s="81" t="s">
        <v>282</v>
      </c>
      <c r="F419" s="80"/>
      <c r="G419" s="130">
        <f>G423+G420</f>
        <v>232.95156</v>
      </c>
      <c r="H419" s="88"/>
    </row>
    <row r="420" spans="1:8" s="23" customFormat="1" ht="63">
      <c r="A420" s="78"/>
      <c r="B420" s="84" t="s">
        <v>284</v>
      </c>
      <c r="C420" s="45" t="s">
        <v>128</v>
      </c>
      <c r="D420" s="45" t="s">
        <v>139</v>
      </c>
      <c r="E420" s="46" t="s">
        <v>283</v>
      </c>
      <c r="F420" s="45"/>
      <c r="G420" s="130">
        <f>G421</f>
        <v>100</v>
      </c>
      <c r="H420" s="88"/>
    </row>
    <row r="421" spans="1:8" s="23" customFormat="1" ht="15.75">
      <c r="A421" s="78"/>
      <c r="B421" s="79" t="s">
        <v>61</v>
      </c>
      <c r="C421" s="45" t="s">
        <v>128</v>
      </c>
      <c r="D421" s="45" t="s">
        <v>139</v>
      </c>
      <c r="E421" s="46" t="s">
        <v>283</v>
      </c>
      <c r="F421" s="45" t="s">
        <v>62</v>
      </c>
      <c r="G421" s="130">
        <f>G422</f>
        <v>100</v>
      </c>
      <c r="H421" s="88"/>
    </row>
    <row r="422" spans="1:8" s="23" customFormat="1" ht="15.75">
      <c r="A422" s="78"/>
      <c r="B422" s="128" t="s">
        <v>412</v>
      </c>
      <c r="C422" s="45"/>
      <c r="D422" s="45"/>
      <c r="E422" s="46"/>
      <c r="F422" s="45"/>
      <c r="G422" s="164">
        <v>100</v>
      </c>
      <c r="H422" s="88"/>
    </row>
    <row r="423" spans="1:8" s="23" customFormat="1" ht="47.25">
      <c r="A423" s="78"/>
      <c r="B423" s="85" t="s">
        <v>380</v>
      </c>
      <c r="C423" s="80" t="s">
        <v>128</v>
      </c>
      <c r="D423" s="80" t="s">
        <v>139</v>
      </c>
      <c r="E423" s="81" t="s">
        <v>381</v>
      </c>
      <c r="F423" s="80"/>
      <c r="G423" s="130">
        <f>G425+G426+G427</f>
        <v>132.95156</v>
      </c>
      <c r="H423" s="88"/>
    </row>
    <row r="424" spans="1:8" s="23" customFormat="1" ht="15.75">
      <c r="A424" s="78"/>
      <c r="B424" s="79" t="s">
        <v>61</v>
      </c>
      <c r="C424" s="80" t="s">
        <v>128</v>
      </c>
      <c r="D424" s="80" t="s">
        <v>139</v>
      </c>
      <c r="E424" s="81" t="s">
        <v>381</v>
      </c>
      <c r="F424" s="80" t="s">
        <v>62</v>
      </c>
      <c r="G424" s="130">
        <f>G425+G426+G427</f>
        <v>132.95156</v>
      </c>
      <c r="H424" s="88"/>
    </row>
    <row r="425" spans="1:8" s="23" customFormat="1" ht="15.75">
      <c r="A425" s="78"/>
      <c r="B425" s="160" t="s">
        <v>247</v>
      </c>
      <c r="C425" s="80"/>
      <c r="D425" s="80"/>
      <c r="E425" s="81"/>
      <c r="F425" s="80"/>
      <c r="G425" s="131">
        <f>94.72799-0.00071</f>
        <v>94.72728000000001</v>
      </c>
      <c r="H425" s="88"/>
    </row>
    <row r="426" spans="1:8" s="23" customFormat="1" ht="15.75">
      <c r="A426" s="78"/>
      <c r="B426" s="160" t="s">
        <v>207</v>
      </c>
      <c r="C426" s="80"/>
      <c r="D426" s="80"/>
      <c r="E426" s="81"/>
      <c r="F426" s="80"/>
      <c r="G426" s="131">
        <f>4.98568+0.00071</f>
        <v>4.98639</v>
      </c>
      <c r="H426" s="88"/>
    </row>
    <row r="427" spans="1:8" s="23" customFormat="1" ht="15.75">
      <c r="A427" s="78"/>
      <c r="B427" s="160" t="s">
        <v>206</v>
      </c>
      <c r="C427" s="80"/>
      <c r="D427" s="80"/>
      <c r="E427" s="81"/>
      <c r="F427" s="80"/>
      <c r="G427" s="131">
        <v>33.23789</v>
      </c>
      <c r="H427" s="88"/>
    </row>
    <row r="428" spans="1:8" s="23" customFormat="1" ht="15.75">
      <c r="A428" s="78"/>
      <c r="B428" s="79" t="s">
        <v>9</v>
      </c>
      <c r="C428" s="80" t="s">
        <v>128</v>
      </c>
      <c r="D428" s="80" t="s">
        <v>139</v>
      </c>
      <c r="E428" s="81" t="s">
        <v>10</v>
      </c>
      <c r="F428" s="80"/>
      <c r="G428" s="130">
        <f>G429</f>
        <v>35356.08919</v>
      </c>
      <c r="H428" s="88"/>
    </row>
    <row r="429" spans="1:8" s="25" customFormat="1" ht="31.5">
      <c r="A429" s="89"/>
      <c r="B429" s="79" t="s">
        <v>199</v>
      </c>
      <c r="C429" s="80" t="s">
        <v>128</v>
      </c>
      <c r="D429" s="80" t="s">
        <v>139</v>
      </c>
      <c r="E429" s="81" t="s">
        <v>200</v>
      </c>
      <c r="F429" s="80"/>
      <c r="G429" s="130">
        <f>G430</f>
        <v>35356.08919</v>
      </c>
      <c r="H429" s="142"/>
    </row>
    <row r="430" spans="1:8" s="26" customFormat="1" ht="15.75">
      <c r="A430" s="90"/>
      <c r="B430" s="79" t="s">
        <v>61</v>
      </c>
      <c r="C430" s="80" t="s">
        <v>128</v>
      </c>
      <c r="D430" s="80" t="s">
        <v>139</v>
      </c>
      <c r="E430" s="81" t="s">
        <v>200</v>
      </c>
      <c r="F430" s="80" t="s">
        <v>62</v>
      </c>
      <c r="G430" s="130">
        <f>G431+G432+31936.08919+1600</f>
        <v>35356.08919</v>
      </c>
      <c r="H430" s="121"/>
    </row>
    <row r="431" spans="1:8" s="26" customFormat="1" ht="15.75">
      <c r="A431" s="90"/>
      <c r="B431" s="128" t="s">
        <v>308</v>
      </c>
      <c r="C431" s="80"/>
      <c r="D431" s="80"/>
      <c r="E431" s="81"/>
      <c r="F431" s="80"/>
      <c r="G431" s="131">
        <v>1200</v>
      </c>
      <c r="H431" s="121"/>
    </row>
    <row r="432" spans="1:8" s="26" customFormat="1" ht="31.5">
      <c r="A432" s="90"/>
      <c r="B432" s="128" t="s">
        <v>358</v>
      </c>
      <c r="C432" s="80"/>
      <c r="D432" s="80"/>
      <c r="E432" s="81"/>
      <c r="F432" s="80"/>
      <c r="G432" s="131">
        <f>420+200</f>
        <v>620</v>
      </c>
      <c r="H432" s="121"/>
    </row>
    <row r="433" spans="1:8" s="24" customFormat="1" ht="15.75">
      <c r="A433" s="78"/>
      <c r="B433" s="79" t="s">
        <v>44</v>
      </c>
      <c r="C433" s="80" t="s">
        <v>128</v>
      </c>
      <c r="D433" s="80" t="s">
        <v>45</v>
      </c>
      <c r="E433" s="81"/>
      <c r="F433" s="80"/>
      <c r="G433" s="130">
        <f>G434</f>
        <v>24382.7136</v>
      </c>
      <c r="H433" s="86"/>
    </row>
    <row r="434" spans="1:8" s="24" customFormat="1" ht="15.75">
      <c r="A434" s="78"/>
      <c r="B434" s="87" t="s">
        <v>46</v>
      </c>
      <c r="C434" s="80" t="s">
        <v>128</v>
      </c>
      <c r="D434" s="80" t="s">
        <v>47</v>
      </c>
      <c r="E434" s="81"/>
      <c r="F434" s="80"/>
      <c r="G434" s="130">
        <f>G435</f>
        <v>24382.7136</v>
      </c>
      <c r="H434" s="86"/>
    </row>
    <row r="435" spans="1:8" s="24" customFormat="1" ht="31.5">
      <c r="A435" s="78"/>
      <c r="B435" s="69" t="s">
        <v>185</v>
      </c>
      <c r="C435" s="45" t="s">
        <v>128</v>
      </c>
      <c r="D435" s="45" t="s">
        <v>47</v>
      </c>
      <c r="E435" s="46" t="s">
        <v>117</v>
      </c>
      <c r="F435" s="45"/>
      <c r="G435" s="130">
        <f>G436</f>
        <v>24382.7136</v>
      </c>
      <c r="H435" s="86"/>
    </row>
    <row r="436" spans="1:8" s="24" customFormat="1" ht="15.75">
      <c r="A436" s="78"/>
      <c r="B436" s="69" t="s">
        <v>287</v>
      </c>
      <c r="C436" s="45" t="s">
        <v>128</v>
      </c>
      <c r="D436" s="45" t="s">
        <v>47</v>
      </c>
      <c r="E436" s="46" t="s">
        <v>205</v>
      </c>
      <c r="F436" s="45"/>
      <c r="G436" s="130">
        <f>G439+G437</f>
        <v>24382.7136</v>
      </c>
      <c r="H436" s="86"/>
    </row>
    <row r="437" spans="1:8" s="24" customFormat="1" ht="78.75">
      <c r="A437" s="78"/>
      <c r="B437" s="60" t="s">
        <v>426</v>
      </c>
      <c r="C437" s="45" t="s">
        <v>128</v>
      </c>
      <c r="D437" s="45" t="s">
        <v>47</v>
      </c>
      <c r="E437" s="92" t="s">
        <v>427</v>
      </c>
      <c r="F437" s="45"/>
      <c r="G437" s="130">
        <f>G438</f>
        <v>613.1943</v>
      </c>
      <c r="H437" s="86"/>
    </row>
    <row r="438" spans="1:8" s="24" customFormat="1" ht="15.75">
      <c r="A438" s="78"/>
      <c r="B438" s="48" t="s">
        <v>49</v>
      </c>
      <c r="C438" s="45" t="s">
        <v>128</v>
      </c>
      <c r="D438" s="45" t="s">
        <v>47</v>
      </c>
      <c r="E438" s="92" t="s">
        <v>427</v>
      </c>
      <c r="F438" s="45" t="s">
        <v>50</v>
      </c>
      <c r="G438" s="130">
        <v>613.1943</v>
      </c>
      <c r="H438" s="86"/>
    </row>
    <row r="439" spans="1:8" s="27" customFormat="1" ht="47.25">
      <c r="A439" s="91"/>
      <c r="B439" s="60" t="s">
        <v>323</v>
      </c>
      <c r="C439" s="45" t="s">
        <v>128</v>
      </c>
      <c r="D439" s="45" t="s">
        <v>47</v>
      </c>
      <c r="E439" s="92" t="s">
        <v>295</v>
      </c>
      <c r="F439" s="45"/>
      <c r="G439" s="130">
        <f>G440</f>
        <v>23769.5193</v>
      </c>
      <c r="H439" s="93"/>
    </row>
    <row r="440" spans="1:8" s="28" customFormat="1" ht="15.75">
      <c r="A440" s="78"/>
      <c r="B440" s="48" t="s">
        <v>49</v>
      </c>
      <c r="C440" s="45" t="s">
        <v>128</v>
      </c>
      <c r="D440" s="45" t="s">
        <v>47</v>
      </c>
      <c r="E440" s="92" t="s">
        <v>295</v>
      </c>
      <c r="F440" s="45" t="s">
        <v>50</v>
      </c>
      <c r="G440" s="130">
        <f>G441+G442+G443</f>
        <v>23769.5193</v>
      </c>
      <c r="H440" s="94"/>
    </row>
    <row r="441" spans="1:8" s="28" customFormat="1" ht="15.75">
      <c r="A441" s="78"/>
      <c r="B441" s="160" t="s">
        <v>247</v>
      </c>
      <c r="C441" s="45"/>
      <c r="D441" s="45"/>
      <c r="E441" s="92"/>
      <c r="F441" s="45"/>
      <c r="G441" s="131">
        <v>6714.457</v>
      </c>
      <c r="H441" s="94"/>
    </row>
    <row r="442" spans="1:8" s="28" customFormat="1" ht="15.75">
      <c r="A442" s="78"/>
      <c r="B442" s="160" t="s">
        <v>207</v>
      </c>
      <c r="C442" s="45"/>
      <c r="D442" s="45"/>
      <c r="E442" s="92"/>
      <c r="F442" s="45"/>
      <c r="G442" s="131">
        <v>11055.0623</v>
      </c>
      <c r="H442" s="94"/>
    </row>
    <row r="443" spans="1:8" s="28" customFormat="1" ht="15.75">
      <c r="A443" s="78"/>
      <c r="B443" s="160" t="s">
        <v>379</v>
      </c>
      <c r="C443" s="45"/>
      <c r="D443" s="45"/>
      <c r="E443" s="92"/>
      <c r="F443" s="45"/>
      <c r="G443" s="131">
        <f>6000-452.55853+914.72112-462.16259</f>
        <v>6000</v>
      </c>
      <c r="H443" s="122"/>
    </row>
    <row r="444" spans="1:8" s="28" customFormat="1" ht="15.75">
      <c r="A444" s="78"/>
      <c r="B444" s="139" t="s">
        <v>356</v>
      </c>
      <c r="C444" s="45"/>
      <c r="D444" s="45"/>
      <c r="E444" s="92"/>
      <c r="F444" s="45"/>
      <c r="G444" s="164">
        <v>5000</v>
      </c>
      <c r="H444" s="122"/>
    </row>
    <row r="445" spans="1:8" s="29" customFormat="1" ht="15.75">
      <c r="A445" s="78"/>
      <c r="B445" s="95" t="s">
        <v>141</v>
      </c>
      <c r="C445" s="45" t="s">
        <v>128</v>
      </c>
      <c r="D445" s="45" t="s">
        <v>142</v>
      </c>
      <c r="E445" s="46"/>
      <c r="F445" s="45"/>
      <c r="G445" s="130">
        <f>G446</f>
        <v>26331.2833</v>
      </c>
      <c r="H445" s="96"/>
    </row>
    <row r="446" spans="1:8" s="29" customFormat="1" ht="15.75">
      <c r="A446" s="78"/>
      <c r="B446" s="91" t="s">
        <v>143</v>
      </c>
      <c r="C446" s="80" t="s">
        <v>128</v>
      </c>
      <c r="D446" s="80" t="s">
        <v>144</v>
      </c>
      <c r="E446" s="81"/>
      <c r="F446" s="80"/>
      <c r="G446" s="130">
        <f>G447+G455</f>
        <v>26331.2833</v>
      </c>
      <c r="H446" s="96"/>
    </row>
    <row r="447" spans="1:8" s="30" customFormat="1" ht="31.5">
      <c r="A447" s="97"/>
      <c r="B447" s="79" t="s">
        <v>208</v>
      </c>
      <c r="C447" s="80" t="s">
        <v>128</v>
      </c>
      <c r="D447" s="80" t="s">
        <v>144</v>
      </c>
      <c r="E447" s="81" t="s">
        <v>132</v>
      </c>
      <c r="F447" s="80"/>
      <c r="G447" s="130">
        <f>G448</f>
        <v>200</v>
      </c>
      <c r="H447" s="98"/>
    </row>
    <row r="448" spans="1:8" s="23" customFormat="1" ht="15.75">
      <c r="A448" s="90"/>
      <c r="B448" s="84" t="s">
        <v>193</v>
      </c>
      <c r="C448" s="80" t="s">
        <v>128</v>
      </c>
      <c r="D448" s="80" t="s">
        <v>144</v>
      </c>
      <c r="E448" s="81" t="s">
        <v>147</v>
      </c>
      <c r="F448" s="80"/>
      <c r="G448" s="130">
        <f>G449+G451</f>
        <v>200</v>
      </c>
      <c r="H448" s="99"/>
    </row>
    <row r="449" spans="1:8" s="23" customFormat="1" ht="63">
      <c r="A449" s="90"/>
      <c r="B449" s="84" t="s">
        <v>291</v>
      </c>
      <c r="C449" s="80" t="s">
        <v>128</v>
      </c>
      <c r="D449" s="80" t="s">
        <v>144</v>
      </c>
      <c r="E449" s="81" t="s">
        <v>148</v>
      </c>
      <c r="F449" s="80"/>
      <c r="G449" s="130">
        <f>G450</f>
        <v>150</v>
      </c>
      <c r="H449" s="99"/>
    </row>
    <row r="450" spans="1:8" s="23" customFormat="1" ht="15.75">
      <c r="A450" s="100"/>
      <c r="B450" s="79" t="s">
        <v>18</v>
      </c>
      <c r="C450" s="80" t="s">
        <v>128</v>
      </c>
      <c r="D450" s="80" t="s">
        <v>144</v>
      </c>
      <c r="E450" s="81" t="s">
        <v>148</v>
      </c>
      <c r="F450" s="80" t="s">
        <v>19</v>
      </c>
      <c r="G450" s="130">
        <v>150</v>
      </c>
      <c r="H450" s="101"/>
    </row>
    <row r="451" spans="1:8" s="23" customFormat="1" ht="63">
      <c r="A451" s="90"/>
      <c r="B451" s="84" t="s">
        <v>209</v>
      </c>
      <c r="C451" s="80" t="s">
        <v>128</v>
      </c>
      <c r="D451" s="80" t="s">
        <v>144</v>
      </c>
      <c r="E451" s="81" t="s">
        <v>194</v>
      </c>
      <c r="F451" s="80"/>
      <c r="G451" s="130">
        <f>G452</f>
        <v>50</v>
      </c>
      <c r="H451" s="99"/>
    </row>
    <row r="452" spans="1:8" s="23" customFormat="1" ht="15.75">
      <c r="A452" s="100"/>
      <c r="B452" s="79" t="s">
        <v>18</v>
      </c>
      <c r="C452" s="80" t="s">
        <v>128</v>
      </c>
      <c r="D452" s="80" t="s">
        <v>144</v>
      </c>
      <c r="E452" s="81" t="s">
        <v>194</v>
      </c>
      <c r="F452" s="80" t="s">
        <v>19</v>
      </c>
      <c r="G452" s="130">
        <f>150-100</f>
        <v>50</v>
      </c>
      <c r="H452" s="101"/>
    </row>
    <row r="453" spans="1:8" s="23" customFormat="1" ht="15.75">
      <c r="A453" s="100"/>
      <c r="B453" s="79" t="s">
        <v>9</v>
      </c>
      <c r="C453" s="80" t="s">
        <v>128</v>
      </c>
      <c r="D453" s="80" t="s">
        <v>144</v>
      </c>
      <c r="E453" s="81" t="s">
        <v>10</v>
      </c>
      <c r="F453" s="80"/>
      <c r="G453" s="130">
        <f>G454</f>
        <v>26131.2833</v>
      </c>
      <c r="H453" s="101"/>
    </row>
    <row r="454" spans="1:8" s="23" customFormat="1" ht="31.5">
      <c r="A454" s="100"/>
      <c r="B454" s="79" t="s">
        <v>145</v>
      </c>
      <c r="C454" s="80" t="s">
        <v>128</v>
      </c>
      <c r="D454" s="80" t="s">
        <v>144</v>
      </c>
      <c r="E454" s="81" t="s">
        <v>146</v>
      </c>
      <c r="F454" s="80"/>
      <c r="G454" s="130">
        <f>G455</f>
        <v>26131.2833</v>
      </c>
      <c r="H454" s="101"/>
    </row>
    <row r="455" spans="1:8" s="23" customFormat="1" ht="15.75">
      <c r="A455" s="100"/>
      <c r="B455" s="79" t="s">
        <v>61</v>
      </c>
      <c r="C455" s="80" t="s">
        <v>128</v>
      </c>
      <c r="D455" s="80" t="s">
        <v>144</v>
      </c>
      <c r="E455" s="81" t="s">
        <v>146</v>
      </c>
      <c r="F455" s="80" t="s">
        <v>62</v>
      </c>
      <c r="G455" s="130">
        <f>19280.47657+2650.80673+80+2120+2000</f>
        <v>26131.2833</v>
      </c>
      <c r="H455" s="101"/>
    </row>
    <row r="456" spans="1:8" s="23" customFormat="1" ht="15.75">
      <c r="A456" s="100"/>
      <c r="B456" s="128" t="s">
        <v>308</v>
      </c>
      <c r="C456" s="80"/>
      <c r="D456" s="80"/>
      <c r="E456" s="81"/>
      <c r="F456" s="80"/>
      <c r="G456" s="131">
        <v>600.5</v>
      </c>
      <c r="H456" s="101"/>
    </row>
    <row r="457" spans="1:8" s="23" customFormat="1" ht="31.5">
      <c r="A457" s="100"/>
      <c r="B457" s="128" t="s">
        <v>358</v>
      </c>
      <c r="C457" s="80"/>
      <c r="D457" s="80"/>
      <c r="E457" s="81"/>
      <c r="F457" s="80"/>
      <c r="G457" s="131">
        <f>80+2120</f>
        <v>2200</v>
      </c>
      <c r="H457" s="101"/>
    </row>
    <row r="458" spans="1:8" s="12" customFormat="1" ht="15.75">
      <c r="A458" s="38">
        <v>9</v>
      </c>
      <c r="B458" s="39" t="s">
        <v>149</v>
      </c>
      <c r="C458" s="74" t="s">
        <v>150</v>
      </c>
      <c r="D458" s="74"/>
      <c r="E458" s="40"/>
      <c r="F458" s="74"/>
      <c r="G458" s="41">
        <f>G459+G487</f>
        <v>50631.90143</v>
      </c>
      <c r="H458" s="50"/>
    </row>
    <row r="459" spans="1:8" s="23" customFormat="1" ht="15.75">
      <c r="A459" s="78"/>
      <c r="B459" s="79" t="s">
        <v>7</v>
      </c>
      <c r="C459" s="80" t="s">
        <v>150</v>
      </c>
      <c r="D459" s="80" t="s">
        <v>8</v>
      </c>
      <c r="E459" s="81"/>
      <c r="F459" s="80"/>
      <c r="G459" s="130">
        <f>G460+G465</f>
        <v>49672.47446</v>
      </c>
      <c r="H459" s="82"/>
    </row>
    <row r="460" spans="1:8" s="23" customFormat="1" ht="31.5">
      <c r="A460" s="78"/>
      <c r="B460" s="79" t="s">
        <v>32</v>
      </c>
      <c r="C460" s="80" t="s">
        <v>150</v>
      </c>
      <c r="D460" s="80" t="s">
        <v>33</v>
      </c>
      <c r="E460" s="81" t="s">
        <v>15</v>
      </c>
      <c r="F460" s="80" t="s">
        <v>15</v>
      </c>
      <c r="G460" s="130">
        <f>G461</f>
        <v>24243.269330000003</v>
      </c>
      <c r="H460" s="82"/>
    </row>
    <row r="461" spans="1:8" s="23" customFormat="1" ht="15.75">
      <c r="A461" s="78"/>
      <c r="B461" s="79" t="s">
        <v>9</v>
      </c>
      <c r="C461" s="80" t="s">
        <v>150</v>
      </c>
      <c r="D461" s="80" t="s">
        <v>33</v>
      </c>
      <c r="E461" s="81" t="s">
        <v>10</v>
      </c>
      <c r="F461" s="80"/>
      <c r="G461" s="130">
        <f>G462</f>
        <v>24243.269330000003</v>
      </c>
      <c r="H461" s="82"/>
    </row>
    <row r="462" spans="1:8" s="23" customFormat="1" ht="31.5">
      <c r="A462" s="78"/>
      <c r="B462" s="79" t="s">
        <v>16</v>
      </c>
      <c r="C462" s="80" t="s">
        <v>150</v>
      </c>
      <c r="D462" s="80" t="s">
        <v>33</v>
      </c>
      <c r="E462" s="81" t="s">
        <v>17</v>
      </c>
      <c r="F462" s="80"/>
      <c r="G462" s="130">
        <f>G463+G464</f>
        <v>24243.269330000003</v>
      </c>
      <c r="H462" s="82"/>
    </row>
    <row r="463" spans="1:8" s="23" customFormat="1" ht="47.25">
      <c r="A463" s="78"/>
      <c r="B463" s="79" t="s">
        <v>11</v>
      </c>
      <c r="C463" s="80" t="s">
        <v>150</v>
      </c>
      <c r="D463" s="80" t="s">
        <v>33</v>
      </c>
      <c r="E463" s="81" t="s">
        <v>17</v>
      </c>
      <c r="F463" s="80" t="s">
        <v>12</v>
      </c>
      <c r="G463" s="130">
        <f>23103.2457-353.71637+120-280+36.24</f>
        <v>22625.769330000003</v>
      </c>
      <c r="H463" s="82"/>
    </row>
    <row r="464" spans="1:8" s="23" customFormat="1" ht="15.75">
      <c r="A464" s="78"/>
      <c r="B464" s="79" t="s">
        <v>18</v>
      </c>
      <c r="C464" s="80" t="s">
        <v>150</v>
      </c>
      <c r="D464" s="80" t="s">
        <v>33</v>
      </c>
      <c r="E464" s="81" t="s">
        <v>17</v>
      </c>
      <c r="F464" s="80" t="s">
        <v>19</v>
      </c>
      <c r="G464" s="130">
        <f>821.2+496.3+300</f>
        <v>1617.5</v>
      </c>
      <c r="H464" s="102"/>
    </row>
    <row r="465" spans="1:8" s="23" customFormat="1" ht="15.75">
      <c r="A465" s="78"/>
      <c r="B465" s="79" t="s">
        <v>40</v>
      </c>
      <c r="C465" s="80" t="s">
        <v>150</v>
      </c>
      <c r="D465" s="80" t="s">
        <v>41</v>
      </c>
      <c r="E465" s="81"/>
      <c r="F465" s="80"/>
      <c r="G465" s="130">
        <f>G466+G478</f>
        <v>25429.20513</v>
      </c>
      <c r="H465" s="82"/>
    </row>
    <row r="466" spans="1:8" s="24" customFormat="1" ht="31.5">
      <c r="A466" s="78"/>
      <c r="B466" s="79" t="s">
        <v>256</v>
      </c>
      <c r="C466" s="80" t="s">
        <v>150</v>
      </c>
      <c r="D466" s="80" t="s">
        <v>41</v>
      </c>
      <c r="E466" s="81" t="s">
        <v>102</v>
      </c>
      <c r="F466" s="80"/>
      <c r="G466" s="130">
        <f>G467+G474</f>
        <v>1060.39903</v>
      </c>
      <c r="H466" s="103"/>
    </row>
    <row r="467" spans="1:8" s="24" customFormat="1" ht="31.5">
      <c r="A467" s="78"/>
      <c r="B467" s="85" t="s">
        <v>210</v>
      </c>
      <c r="C467" s="80" t="s">
        <v>150</v>
      </c>
      <c r="D467" s="80" t="s">
        <v>41</v>
      </c>
      <c r="E467" s="81" t="s">
        <v>211</v>
      </c>
      <c r="F467" s="80"/>
      <c r="G467" s="130">
        <f>G468+G470+G472</f>
        <v>1030.39903</v>
      </c>
      <c r="H467" s="103"/>
    </row>
    <row r="468" spans="1:8" s="24" customFormat="1" ht="47.25">
      <c r="A468" s="78"/>
      <c r="B468" s="85" t="s">
        <v>249</v>
      </c>
      <c r="C468" s="80" t="s">
        <v>150</v>
      </c>
      <c r="D468" s="80" t="s">
        <v>41</v>
      </c>
      <c r="E468" s="81" t="s">
        <v>262</v>
      </c>
      <c r="F468" s="80"/>
      <c r="G468" s="130">
        <f>G469</f>
        <v>150</v>
      </c>
      <c r="H468" s="103"/>
    </row>
    <row r="469" spans="1:8" s="24" customFormat="1" ht="47.25">
      <c r="A469" s="78"/>
      <c r="B469" s="79" t="s">
        <v>11</v>
      </c>
      <c r="C469" s="80" t="s">
        <v>150</v>
      </c>
      <c r="D469" s="80" t="s">
        <v>41</v>
      </c>
      <c r="E469" s="81" t="s">
        <v>262</v>
      </c>
      <c r="F469" s="80" t="s">
        <v>12</v>
      </c>
      <c r="G469" s="130">
        <f>145+5</f>
        <v>150</v>
      </c>
      <c r="H469" s="103"/>
    </row>
    <row r="470" spans="1:8" s="24" customFormat="1" ht="63">
      <c r="A470" s="78"/>
      <c r="B470" s="85" t="s">
        <v>304</v>
      </c>
      <c r="C470" s="80" t="s">
        <v>150</v>
      </c>
      <c r="D470" s="80" t="s">
        <v>41</v>
      </c>
      <c r="E470" s="81" t="s">
        <v>296</v>
      </c>
      <c r="F470" s="80"/>
      <c r="G470" s="130">
        <f>G471</f>
        <v>150</v>
      </c>
      <c r="H470" s="104"/>
    </row>
    <row r="471" spans="1:8" s="24" customFormat="1" ht="47.25">
      <c r="A471" s="78"/>
      <c r="B471" s="79" t="s">
        <v>11</v>
      </c>
      <c r="C471" s="80" t="s">
        <v>150</v>
      </c>
      <c r="D471" s="80" t="s">
        <v>41</v>
      </c>
      <c r="E471" s="81" t="s">
        <v>296</v>
      </c>
      <c r="F471" s="80" t="s">
        <v>12</v>
      </c>
      <c r="G471" s="130">
        <f>145+5</f>
        <v>150</v>
      </c>
      <c r="H471" s="105"/>
    </row>
    <row r="472" spans="1:8" s="24" customFormat="1" ht="63">
      <c r="A472" s="78"/>
      <c r="B472" s="85" t="s">
        <v>103</v>
      </c>
      <c r="C472" s="80" t="s">
        <v>150</v>
      </c>
      <c r="D472" s="80" t="s">
        <v>41</v>
      </c>
      <c r="E472" s="81" t="s">
        <v>212</v>
      </c>
      <c r="F472" s="154"/>
      <c r="G472" s="130">
        <f>G473</f>
        <v>730.39903</v>
      </c>
      <c r="H472" s="103"/>
    </row>
    <row r="473" spans="1:8" s="24" customFormat="1" ht="15.75">
      <c r="A473" s="78"/>
      <c r="B473" s="79" t="s">
        <v>18</v>
      </c>
      <c r="C473" s="80" t="s">
        <v>150</v>
      </c>
      <c r="D473" s="80" t="s">
        <v>41</v>
      </c>
      <c r="E473" s="81" t="s">
        <v>212</v>
      </c>
      <c r="F473" s="80" t="s">
        <v>19</v>
      </c>
      <c r="G473" s="130">
        <f>800-69.60097</f>
        <v>730.39903</v>
      </c>
      <c r="H473" s="106"/>
    </row>
    <row r="474" spans="1:8" s="24" customFormat="1" ht="15.75">
      <c r="A474" s="78"/>
      <c r="B474" s="79" t="s">
        <v>213</v>
      </c>
      <c r="C474" s="80" t="s">
        <v>150</v>
      </c>
      <c r="D474" s="80" t="s">
        <v>41</v>
      </c>
      <c r="E474" s="81" t="s">
        <v>215</v>
      </c>
      <c r="F474" s="80"/>
      <c r="G474" s="130">
        <f>G475</f>
        <v>30</v>
      </c>
      <c r="H474" s="106"/>
    </row>
    <row r="475" spans="1:8" s="24" customFormat="1" ht="78.75">
      <c r="A475" s="78"/>
      <c r="B475" s="107" t="s">
        <v>152</v>
      </c>
      <c r="C475" s="80" t="s">
        <v>150</v>
      </c>
      <c r="D475" s="80" t="s">
        <v>41</v>
      </c>
      <c r="E475" s="81" t="s">
        <v>214</v>
      </c>
      <c r="F475" s="80"/>
      <c r="G475" s="130">
        <f>G476</f>
        <v>30</v>
      </c>
      <c r="H475" s="106"/>
    </row>
    <row r="476" spans="1:8" s="24" customFormat="1" ht="15.75">
      <c r="A476" s="78"/>
      <c r="B476" s="79" t="s">
        <v>18</v>
      </c>
      <c r="C476" s="80" t="s">
        <v>150</v>
      </c>
      <c r="D476" s="80" t="s">
        <v>41</v>
      </c>
      <c r="E476" s="81" t="s">
        <v>214</v>
      </c>
      <c r="F476" s="80" t="s">
        <v>19</v>
      </c>
      <c r="G476" s="130">
        <f>G477</f>
        <v>30</v>
      </c>
      <c r="H476" s="106"/>
    </row>
    <row r="477" spans="1:8" s="24" customFormat="1" ht="15.75">
      <c r="A477" s="78"/>
      <c r="B477" s="128" t="s">
        <v>412</v>
      </c>
      <c r="C477" s="80"/>
      <c r="D477" s="80"/>
      <c r="E477" s="81"/>
      <c r="F477" s="80"/>
      <c r="G477" s="164">
        <v>30</v>
      </c>
      <c r="H477" s="106"/>
    </row>
    <row r="478" spans="1:8" s="24" customFormat="1" ht="15.75">
      <c r="A478" s="78"/>
      <c r="B478" s="79" t="s">
        <v>9</v>
      </c>
      <c r="C478" s="80" t="s">
        <v>150</v>
      </c>
      <c r="D478" s="80" t="s">
        <v>41</v>
      </c>
      <c r="E478" s="81" t="s">
        <v>10</v>
      </c>
      <c r="F478" s="80"/>
      <c r="G478" s="130">
        <f>G479+G485</f>
        <v>24368.806099999998</v>
      </c>
      <c r="H478" s="106"/>
    </row>
    <row r="479" spans="1:8" s="24" customFormat="1" ht="47.25">
      <c r="A479" s="78"/>
      <c r="B479" s="79" t="s">
        <v>158</v>
      </c>
      <c r="C479" s="80" t="s">
        <v>150</v>
      </c>
      <c r="D479" s="80" t="s">
        <v>41</v>
      </c>
      <c r="E479" s="81" t="s">
        <v>159</v>
      </c>
      <c r="F479" s="80"/>
      <c r="G479" s="130">
        <f>G480+G481+G484+G483</f>
        <v>24299.20513</v>
      </c>
      <c r="H479" s="106"/>
    </row>
    <row r="480" spans="1:8" s="24" customFormat="1" ht="47.25">
      <c r="A480" s="78"/>
      <c r="B480" s="79" t="s">
        <v>11</v>
      </c>
      <c r="C480" s="80" t="s">
        <v>150</v>
      </c>
      <c r="D480" s="80" t="s">
        <v>41</v>
      </c>
      <c r="E480" s="81" t="s">
        <v>159</v>
      </c>
      <c r="F480" s="80" t="s">
        <v>12</v>
      </c>
      <c r="G480" s="130">
        <f>12061.52326-350-241+1964.36387+593.23789</f>
        <v>14028.12502</v>
      </c>
      <c r="H480" s="106"/>
    </row>
    <row r="481" spans="1:8" s="24" customFormat="1" ht="15.75">
      <c r="A481" s="78"/>
      <c r="B481" s="79" t="s">
        <v>18</v>
      </c>
      <c r="C481" s="80" t="s">
        <v>150</v>
      </c>
      <c r="D481" s="80" t="s">
        <v>41</v>
      </c>
      <c r="E481" s="81" t="s">
        <v>159</v>
      </c>
      <c r="F481" s="80" t="s">
        <v>19</v>
      </c>
      <c r="G481" s="130">
        <f>8553.99271+201.8-270+800+345.21725-266.94422+94.513</f>
        <v>9458.57874</v>
      </c>
      <c r="H481" s="106"/>
    </row>
    <row r="482" spans="1:8" s="24" customFormat="1" ht="15.75">
      <c r="A482" s="78"/>
      <c r="B482" s="128" t="s">
        <v>308</v>
      </c>
      <c r="C482" s="80"/>
      <c r="D482" s="80"/>
      <c r="E482" s="81"/>
      <c r="F482" s="80"/>
      <c r="G482" s="131">
        <f>1200+201.8</f>
        <v>1401.8</v>
      </c>
      <c r="H482" s="106"/>
    </row>
    <row r="483" spans="1:8" s="24" customFormat="1" ht="15.75">
      <c r="A483" s="78"/>
      <c r="B483" s="48" t="s">
        <v>49</v>
      </c>
      <c r="C483" s="80" t="s">
        <v>150</v>
      </c>
      <c r="D483" s="80" t="s">
        <v>41</v>
      </c>
      <c r="E483" s="81" t="s">
        <v>159</v>
      </c>
      <c r="F483" s="80" t="s">
        <v>50</v>
      </c>
      <c r="G483" s="130">
        <f>591+53.71637</f>
        <v>644.71637</v>
      </c>
      <c r="H483" s="106"/>
    </row>
    <row r="484" spans="1:8" s="24" customFormat="1" ht="15.75">
      <c r="A484" s="78"/>
      <c r="B484" s="79" t="s">
        <v>20</v>
      </c>
      <c r="C484" s="80" t="s">
        <v>150</v>
      </c>
      <c r="D484" s="80" t="s">
        <v>41</v>
      </c>
      <c r="E484" s="81" t="s">
        <v>159</v>
      </c>
      <c r="F484" s="80" t="s">
        <v>21</v>
      </c>
      <c r="G484" s="130">
        <f>167.785-0.5+0.5</f>
        <v>167.785</v>
      </c>
      <c r="H484" s="106"/>
    </row>
    <row r="485" spans="1:8" s="24" customFormat="1" ht="31.5">
      <c r="A485" s="78"/>
      <c r="B485" s="79" t="s">
        <v>344</v>
      </c>
      <c r="C485" s="80" t="s">
        <v>150</v>
      </c>
      <c r="D485" s="80" t="s">
        <v>41</v>
      </c>
      <c r="E485" s="81" t="s">
        <v>345</v>
      </c>
      <c r="F485" s="80"/>
      <c r="G485" s="130">
        <f>G486</f>
        <v>69.60097</v>
      </c>
      <c r="H485" s="106"/>
    </row>
    <row r="486" spans="1:8" s="24" customFormat="1" ht="15.75">
      <c r="A486" s="78"/>
      <c r="B486" s="79" t="s">
        <v>18</v>
      </c>
      <c r="C486" s="80" t="s">
        <v>150</v>
      </c>
      <c r="D486" s="80" t="s">
        <v>41</v>
      </c>
      <c r="E486" s="81" t="s">
        <v>345</v>
      </c>
      <c r="F486" s="80" t="s">
        <v>19</v>
      </c>
      <c r="G486" s="130">
        <v>69.60097</v>
      </c>
      <c r="H486" s="106"/>
    </row>
    <row r="487" spans="1:8" s="22" customFormat="1" ht="15.75">
      <c r="A487" s="83"/>
      <c r="B487" s="79" t="s">
        <v>153</v>
      </c>
      <c r="C487" s="80" t="s">
        <v>150</v>
      </c>
      <c r="D487" s="80" t="s">
        <v>154</v>
      </c>
      <c r="E487" s="81"/>
      <c r="F487" s="80"/>
      <c r="G487" s="130">
        <f>G488</f>
        <v>959.42697</v>
      </c>
      <c r="H487" s="82"/>
    </row>
    <row r="488" spans="1:8" s="23" customFormat="1" ht="38.25" customHeight="1">
      <c r="A488" s="108"/>
      <c r="B488" s="87" t="s">
        <v>258</v>
      </c>
      <c r="C488" s="80" t="s">
        <v>150</v>
      </c>
      <c r="D488" s="80" t="s">
        <v>259</v>
      </c>
      <c r="E488" s="81"/>
      <c r="F488" s="80"/>
      <c r="G488" s="130">
        <f>G489</f>
        <v>959.42697</v>
      </c>
      <c r="H488" s="82"/>
    </row>
    <row r="489" spans="1:8" s="26" customFormat="1" ht="31.5">
      <c r="A489" s="108"/>
      <c r="B489" s="87" t="s">
        <v>216</v>
      </c>
      <c r="C489" s="80" t="s">
        <v>150</v>
      </c>
      <c r="D489" s="80" t="s">
        <v>259</v>
      </c>
      <c r="E489" s="81" t="s">
        <v>155</v>
      </c>
      <c r="F489" s="80"/>
      <c r="G489" s="130">
        <f>G490+G493</f>
        <v>959.42697</v>
      </c>
      <c r="H489" s="109"/>
    </row>
    <row r="490" spans="1:8" s="27" customFormat="1" ht="78.75">
      <c r="A490" s="78"/>
      <c r="B490" s="87" t="s">
        <v>156</v>
      </c>
      <c r="C490" s="80" t="s">
        <v>150</v>
      </c>
      <c r="D490" s="80" t="s">
        <v>259</v>
      </c>
      <c r="E490" s="81" t="s">
        <v>157</v>
      </c>
      <c r="F490" s="80"/>
      <c r="G490" s="130">
        <f>G491</f>
        <v>555.42697</v>
      </c>
      <c r="H490" s="93"/>
    </row>
    <row r="491" spans="1:8" s="27" customFormat="1" ht="15.75">
      <c r="A491" s="78"/>
      <c r="B491" s="79" t="s">
        <v>18</v>
      </c>
      <c r="C491" s="80" t="s">
        <v>150</v>
      </c>
      <c r="D491" s="80" t="s">
        <v>259</v>
      </c>
      <c r="E491" s="81" t="s">
        <v>157</v>
      </c>
      <c r="F491" s="80" t="s">
        <v>19</v>
      </c>
      <c r="G491" s="130">
        <f>1180-219.71856-280.28144+500-250-100-274.57303</f>
        <v>555.42697</v>
      </c>
      <c r="H491" s="93"/>
    </row>
    <row r="492" spans="1:8" s="27" customFormat="1" ht="94.5">
      <c r="A492" s="78"/>
      <c r="B492" s="107" t="s">
        <v>264</v>
      </c>
      <c r="C492" s="80" t="s">
        <v>150</v>
      </c>
      <c r="D492" s="80" t="s">
        <v>259</v>
      </c>
      <c r="E492" s="81" t="s">
        <v>263</v>
      </c>
      <c r="F492" s="80"/>
      <c r="G492" s="130">
        <f>G493</f>
        <v>404</v>
      </c>
      <c r="H492" s="93"/>
    </row>
    <row r="493" spans="1:8" s="27" customFormat="1" ht="15.75">
      <c r="A493" s="78"/>
      <c r="B493" s="79" t="s">
        <v>18</v>
      </c>
      <c r="C493" s="80" t="s">
        <v>150</v>
      </c>
      <c r="D493" s="80" t="s">
        <v>259</v>
      </c>
      <c r="E493" s="81" t="s">
        <v>263</v>
      </c>
      <c r="F493" s="80" t="s">
        <v>19</v>
      </c>
      <c r="G493" s="130">
        <f>1100-500-60.98865+60.98865-196</f>
        <v>404</v>
      </c>
      <c r="H493" s="126"/>
    </row>
    <row r="494" spans="1:8" s="27" customFormat="1" ht="15.75">
      <c r="A494" s="78"/>
      <c r="B494" s="128" t="s">
        <v>412</v>
      </c>
      <c r="C494" s="80"/>
      <c r="D494" s="80"/>
      <c r="E494" s="81"/>
      <c r="F494" s="80"/>
      <c r="G494" s="164">
        <v>60.98865</v>
      </c>
      <c r="H494" s="126"/>
    </row>
    <row r="495" spans="1:8" ht="15.75">
      <c r="A495" s="38"/>
      <c r="B495" s="218" t="s">
        <v>160</v>
      </c>
      <c r="C495" s="218"/>
      <c r="D495" s="218"/>
      <c r="E495" s="218"/>
      <c r="F495" s="218"/>
      <c r="G495" s="110">
        <f>G18+G28+G39+G69+G94+G277+G329+G382+G458</f>
        <v>1202847.35168</v>
      </c>
      <c r="H495" s="140" t="s">
        <v>355</v>
      </c>
    </row>
    <row r="497" spans="1:8" s="134" customFormat="1" ht="15.75">
      <c r="A497" s="132"/>
      <c r="B497" s="162"/>
      <c r="C497" s="155"/>
      <c r="D497" s="156"/>
      <c r="E497" s="157"/>
      <c r="F497" s="156"/>
      <c r="G497" s="158"/>
      <c r="H497" s="133"/>
    </row>
    <row r="498" spans="1:8" s="134" customFormat="1" ht="15.75">
      <c r="A498" s="132"/>
      <c r="B498" s="163" t="s">
        <v>161</v>
      </c>
      <c r="C498" s="155"/>
      <c r="D498" s="155"/>
      <c r="E498" s="157"/>
      <c r="F498" s="155"/>
      <c r="G498" s="158" t="e">
        <f>#REF!+G22+G26+G32+G36+G43+G47+G73+G234+G281+G333+G462+G385</f>
        <v>#REF!</v>
      </c>
      <c r="H498" s="133"/>
    </row>
    <row r="499" spans="1:8" s="134" customFormat="1" ht="15.75">
      <c r="A499" s="132"/>
      <c r="B499" s="163" t="s">
        <v>162</v>
      </c>
      <c r="C499" s="155"/>
      <c r="D499" s="155"/>
      <c r="E499" s="157"/>
      <c r="F499" s="155"/>
      <c r="G499" s="158">
        <v>194107</v>
      </c>
      <c r="H499" s="133"/>
    </row>
    <row r="500" spans="1:8" s="134" customFormat="1" ht="15.75">
      <c r="A500" s="132"/>
      <c r="B500" s="163" t="s">
        <v>163</v>
      </c>
      <c r="C500" s="155"/>
      <c r="D500" s="155"/>
      <c r="E500" s="157"/>
      <c r="F500" s="155"/>
      <c r="G500" s="158" t="e">
        <f>G499-G498</f>
        <v>#REF!</v>
      </c>
      <c r="H500" s="133"/>
    </row>
    <row r="501" spans="1:11" s="135" customFormat="1" ht="20.25">
      <c r="A501" s="136"/>
      <c r="B501" s="163" t="s">
        <v>164</v>
      </c>
      <c r="C501" s="156"/>
      <c r="D501" s="156"/>
      <c r="E501" s="159"/>
      <c r="F501" s="156"/>
      <c r="G501" s="158">
        <f>'[1]Приложение 3'!$C$102</f>
        <v>35526</v>
      </c>
      <c r="H501" s="219"/>
      <c r="I501" s="219"/>
      <c r="J501" s="219"/>
      <c r="K501" s="219"/>
    </row>
    <row r="502" spans="1:8" s="135" customFormat="1" ht="20.25">
      <c r="A502" s="136"/>
      <c r="B502" s="163" t="s">
        <v>165</v>
      </c>
      <c r="C502" s="156"/>
      <c r="D502" s="156"/>
      <c r="E502" s="159"/>
      <c r="F502" s="156"/>
      <c r="G502" s="158"/>
      <c r="H502" s="137"/>
    </row>
    <row r="503" spans="1:8" s="135" customFormat="1" ht="20.25">
      <c r="A503" s="136"/>
      <c r="B503" s="163" t="s">
        <v>166</v>
      </c>
      <c r="C503" s="156"/>
      <c r="D503" s="156"/>
      <c r="E503" s="159"/>
      <c r="F503" s="156"/>
      <c r="G503" s="158"/>
      <c r="H503" s="137"/>
    </row>
    <row r="504" spans="1:8" s="135" customFormat="1" ht="18.75" customHeight="1">
      <c r="A504" s="136"/>
      <c r="B504" s="163" t="s">
        <v>167</v>
      </c>
      <c r="C504" s="156"/>
      <c r="D504" s="156"/>
      <c r="E504" s="159"/>
      <c r="F504" s="156"/>
      <c r="G504" s="158"/>
      <c r="H504" s="138"/>
    </row>
    <row r="505" spans="1:8" s="134" customFormat="1" ht="15.75">
      <c r="A505" s="132"/>
      <c r="B505" s="163" t="s">
        <v>168</v>
      </c>
      <c r="C505" s="155"/>
      <c r="D505" s="155"/>
      <c r="E505" s="157"/>
      <c r="F505" s="155"/>
      <c r="G505" s="158"/>
      <c r="H505" s="133"/>
    </row>
    <row r="506" spans="1:8" s="134" customFormat="1" ht="15.75">
      <c r="A506" s="132"/>
      <c r="B506" s="163" t="s">
        <v>169</v>
      </c>
      <c r="C506" s="155"/>
      <c r="D506" s="155"/>
      <c r="E506" s="157"/>
      <c r="F506" s="155"/>
      <c r="G506" s="158"/>
      <c r="H506" s="133"/>
    </row>
  </sheetData>
  <sheetProtection/>
  <autoFilter ref="A17:G495"/>
  <mergeCells count="8">
    <mergeCell ref="B2:G6"/>
    <mergeCell ref="A14:G14"/>
    <mergeCell ref="C16:F16"/>
    <mergeCell ref="B495:F495"/>
    <mergeCell ref="H501:K501"/>
    <mergeCell ref="A16:A17"/>
    <mergeCell ref="B16:B17"/>
    <mergeCell ref="G16:G17"/>
  </mergeCells>
  <printOptions/>
  <pageMargins left="0.5905511811023623" right="0.1968503937007874" top="0.3937007874015748" bottom="0.31496062992125984" header="0.5511811023622047" footer="0.2755905511811024"/>
  <pageSetup fitToHeight="0" fitToWidth="1" horizontalDpi="600" verticalDpi="600" orientation="portrait" paperSize="9" scale="4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350"/>
  <sheetViews>
    <sheetView tabSelected="1" zoomScale="80" zoomScaleNormal="80" zoomScalePageLayoutView="0" workbookViewId="0" topLeftCell="A1">
      <selection activeCell="M12" sqref="M12"/>
    </sheetView>
  </sheetViews>
  <sheetFormatPr defaultColWidth="4.25390625" defaultRowHeight="12.75"/>
  <cols>
    <col min="1" max="1" width="6.25390625" style="167" bestFit="1" customWidth="1"/>
    <col min="2" max="2" width="92.75390625" style="168" customWidth="1"/>
    <col min="3" max="3" width="6.625" style="169" customWidth="1"/>
    <col min="4" max="4" width="10.375" style="169" customWidth="1"/>
    <col min="5" max="5" width="15.625" style="169" customWidth="1"/>
    <col min="6" max="6" width="9.25390625" style="169" customWidth="1"/>
    <col min="7" max="7" width="16.625" style="170" customWidth="1"/>
    <col min="8" max="8" width="6.75390625" style="7" customWidth="1"/>
    <col min="9" max="16384" width="4.25390625" style="7" customWidth="1"/>
  </cols>
  <sheetData>
    <row r="1" ht="10.5" customHeight="1"/>
    <row r="2" spans="2:7" ht="19.5" customHeight="1">
      <c r="B2" s="222" t="s">
        <v>433</v>
      </c>
      <c r="C2" s="222"/>
      <c r="D2" s="222"/>
      <c r="E2" s="222"/>
      <c r="F2" s="222"/>
      <c r="G2" s="222"/>
    </row>
    <row r="3" spans="2:7" ht="12.75" customHeight="1">
      <c r="B3" s="222"/>
      <c r="C3" s="222"/>
      <c r="D3" s="222"/>
      <c r="E3" s="222"/>
      <c r="F3" s="222"/>
      <c r="G3" s="222"/>
    </row>
    <row r="4" spans="2:7" ht="45.75" customHeight="1">
      <c r="B4" s="222"/>
      <c r="C4" s="222"/>
      <c r="D4" s="222"/>
      <c r="E4" s="222"/>
      <c r="F4" s="222"/>
      <c r="G4" s="222"/>
    </row>
    <row r="5" ht="10.5" customHeight="1"/>
    <row r="6" ht="15.75" hidden="1"/>
    <row r="7" ht="6" customHeight="1"/>
    <row r="8" spans="1:6" ht="15" customHeight="1">
      <c r="A8" s="168"/>
      <c r="C8" s="171"/>
      <c r="D8" s="171"/>
      <c r="E8" s="171"/>
      <c r="F8" s="171"/>
    </row>
    <row r="9" spans="1:6" ht="15" customHeight="1">
      <c r="A9" s="168"/>
      <c r="C9" s="171"/>
      <c r="D9" s="171"/>
      <c r="E9" s="171"/>
      <c r="F9" s="171"/>
    </row>
    <row r="10" spans="1:6" ht="15" customHeight="1">
      <c r="A10" s="168"/>
      <c r="C10" s="171"/>
      <c r="D10" s="171"/>
      <c r="E10" s="171"/>
      <c r="F10" s="171"/>
    </row>
    <row r="11" spans="1:6" ht="15" customHeight="1">
      <c r="A11" s="168"/>
      <c r="C11" s="171"/>
      <c r="D11" s="171"/>
      <c r="E11" s="171"/>
      <c r="F11" s="171"/>
    </row>
    <row r="12" spans="1:6" ht="51" customHeight="1">
      <c r="A12" s="168"/>
      <c r="C12" s="171"/>
      <c r="D12" s="171"/>
      <c r="E12" s="171"/>
      <c r="F12" s="171"/>
    </row>
    <row r="13" spans="1:7" s="1" customFormat="1" ht="33" customHeight="1">
      <c r="A13" s="221" t="s">
        <v>314</v>
      </c>
      <c r="B13" s="221"/>
      <c r="C13" s="221"/>
      <c r="D13" s="221"/>
      <c r="E13" s="221"/>
      <c r="F13" s="221"/>
      <c r="G13" s="221"/>
    </row>
    <row r="14" spans="1:7" ht="15.75">
      <c r="A14" s="172"/>
      <c r="B14" s="173"/>
      <c r="C14" s="174"/>
      <c r="D14" s="174"/>
      <c r="E14" s="174"/>
      <c r="F14" s="174"/>
      <c r="G14" s="175" t="s">
        <v>322</v>
      </c>
    </row>
    <row r="15" spans="1:7" s="2" customFormat="1" ht="74.25" customHeight="1">
      <c r="A15" s="176" t="s">
        <v>0</v>
      </c>
      <c r="B15" s="177" t="s">
        <v>170</v>
      </c>
      <c r="C15" s="178" t="s">
        <v>171</v>
      </c>
      <c r="D15" s="177" t="s">
        <v>172</v>
      </c>
      <c r="E15" s="177" t="s">
        <v>4</v>
      </c>
      <c r="F15" s="179" t="s">
        <v>173</v>
      </c>
      <c r="G15" s="166" t="s">
        <v>315</v>
      </c>
    </row>
    <row r="16" spans="1:7" s="3" customFormat="1" ht="19.5" customHeight="1">
      <c r="A16" s="180">
        <v>1</v>
      </c>
      <c r="B16" s="181" t="s">
        <v>174</v>
      </c>
      <c r="C16" s="180" t="s">
        <v>175</v>
      </c>
      <c r="D16" s="181">
        <v>4</v>
      </c>
      <c r="E16" s="181">
        <v>5</v>
      </c>
      <c r="F16" s="181">
        <v>6</v>
      </c>
      <c r="G16" s="182">
        <v>7</v>
      </c>
    </row>
    <row r="17" spans="1:7" s="4" customFormat="1" ht="15.75">
      <c r="A17" s="183">
        <v>1</v>
      </c>
      <c r="B17" s="184" t="s">
        <v>7</v>
      </c>
      <c r="C17" s="185" t="s">
        <v>8</v>
      </c>
      <c r="D17" s="185"/>
      <c r="E17" s="185"/>
      <c r="F17" s="185"/>
      <c r="G17" s="186">
        <f>G18+G26+G38+G49+G53</f>
        <v>208331.32311</v>
      </c>
    </row>
    <row r="18" spans="1:7" ht="31.5">
      <c r="A18" s="187"/>
      <c r="B18" s="188" t="s">
        <v>13</v>
      </c>
      <c r="C18" s="189" t="s">
        <v>8</v>
      </c>
      <c r="D18" s="189" t="s">
        <v>154</v>
      </c>
      <c r="E18" s="189"/>
      <c r="F18" s="189"/>
      <c r="G18" s="190">
        <f>G19</f>
        <v>26975.185</v>
      </c>
    </row>
    <row r="19" spans="1:7" ht="15.75">
      <c r="A19" s="187"/>
      <c r="B19" s="188" t="s">
        <v>9</v>
      </c>
      <c r="C19" s="189" t="s">
        <v>8</v>
      </c>
      <c r="D19" s="189" t="s">
        <v>154</v>
      </c>
      <c r="E19" s="191" t="s">
        <v>10</v>
      </c>
      <c r="F19" s="189"/>
      <c r="G19" s="190">
        <f>G20+G24</f>
        <v>26975.185</v>
      </c>
    </row>
    <row r="20" spans="1:7" ht="31.5" customHeight="1">
      <c r="A20" s="187"/>
      <c r="B20" s="188" t="s">
        <v>16</v>
      </c>
      <c r="C20" s="189" t="s">
        <v>8</v>
      </c>
      <c r="D20" s="189" t="s">
        <v>154</v>
      </c>
      <c r="E20" s="189" t="s">
        <v>17</v>
      </c>
      <c r="F20" s="189"/>
      <c r="G20" s="190">
        <f>SUM(G21:G23)</f>
        <v>20555.023</v>
      </c>
    </row>
    <row r="21" spans="1:7" ht="47.25">
      <c r="A21" s="187"/>
      <c r="B21" s="188" t="s">
        <v>11</v>
      </c>
      <c r="C21" s="189" t="s">
        <v>8</v>
      </c>
      <c r="D21" s="189" t="s">
        <v>154</v>
      </c>
      <c r="E21" s="189" t="s">
        <v>17</v>
      </c>
      <c r="F21" s="189" t="s">
        <v>12</v>
      </c>
      <c r="G21" s="190">
        <f>'прил 4'!G23</f>
        <v>16450.73</v>
      </c>
    </row>
    <row r="22" spans="1:7" ht="15.75">
      <c r="A22" s="187"/>
      <c r="B22" s="188" t="s">
        <v>18</v>
      </c>
      <c r="C22" s="189" t="s">
        <v>8</v>
      </c>
      <c r="D22" s="189" t="s">
        <v>154</v>
      </c>
      <c r="E22" s="189" t="s">
        <v>17</v>
      </c>
      <c r="F22" s="189" t="s">
        <v>19</v>
      </c>
      <c r="G22" s="190">
        <f>'прил 4'!G24</f>
        <v>4075.323</v>
      </c>
    </row>
    <row r="23" spans="1:7" ht="15.75">
      <c r="A23" s="187"/>
      <c r="B23" s="188" t="s">
        <v>20</v>
      </c>
      <c r="C23" s="189" t="s">
        <v>8</v>
      </c>
      <c r="D23" s="189" t="s">
        <v>154</v>
      </c>
      <c r="E23" s="189" t="s">
        <v>17</v>
      </c>
      <c r="F23" s="189" t="s">
        <v>21</v>
      </c>
      <c r="G23" s="190">
        <f>'прил 4'!G25</f>
        <v>28.97</v>
      </c>
    </row>
    <row r="24" spans="1:7" ht="15" customHeight="1">
      <c r="A24" s="187"/>
      <c r="B24" s="188" t="s">
        <v>177</v>
      </c>
      <c r="C24" s="189" t="s">
        <v>8</v>
      </c>
      <c r="D24" s="189" t="s">
        <v>154</v>
      </c>
      <c r="E24" s="191" t="s">
        <v>23</v>
      </c>
      <c r="F24" s="189"/>
      <c r="G24" s="190">
        <f>G25</f>
        <v>6420.162</v>
      </c>
    </row>
    <row r="25" spans="1:7" ht="47.25">
      <c r="A25" s="187"/>
      <c r="B25" s="188" t="s">
        <v>11</v>
      </c>
      <c r="C25" s="189" t="s">
        <v>8</v>
      </c>
      <c r="D25" s="189" t="s">
        <v>154</v>
      </c>
      <c r="E25" s="191" t="s">
        <v>23</v>
      </c>
      <c r="F25" s="189" t="s">
        <v>12</v>
      </c>
      <c r="G25" s="190">
        <f>'прил 4'!G27</f>
        <v>6420.162</v>
      </c>
    </row>
    <row r="26" spans="1:7" ht="33" customHeight="1">
      <c r="A26" s="187"/>
      <c r="B26" s="188" t="s">
        <v>32</v>
      </c>
      <c r="C26" s="189" t="s">
        <v>8</v>
      </c>
      <c r="D26" s="189" t="s">
        <v>64</v>
      </c>
      <c r="E26" s="189"/>
      <c r="F26" s="189"/>
      <c r="G26" s="190">
        <f>G27</f>
        <v>82862.29234</v>
      </c>
    </row>
    <row r="27" spans="1:7" ht="15.75">
      <c r="A27" s="187"/>
      <c r="B27" s="188" t="s">
        <v>9</v>
      </c>
      <c r="C27" s="189" t="s">
        <v>8</v>
      </c>
      <c r="D27" s="189" t="s">
        <v>64</v>
      </c>
      <c r="E27" s="191" t="s">
        <v>10</v>
      </c>
      <c r="F27" s="189"/>
      <c r="G27" s="190">
        <f>G28+G33+G36</f>
        <v>82862.29234</v>
      </c>
    </row>
    <row r="28" spans="1:7" ht="32.25" customHeight="1">
      <c r="A28" s="187"/>
      <c r="B28" s="188" t="s">
        <v>16</v>
      </c>
      <c r="C28" s="189" t="s">
        <v>8</v>
      </c>
      <c r="D28" s="189" t="s">
        <v>64</v>
      </c>
      <c r="E28" s="191" t="s">
        <v>17</v>
      </c>
      <c r="F28" s="189"/>
      <c r="G28" s="190">
        <f>SUM(G29:G32)</f>
        <v>73904.31122</v>
      </c>
    </row>
    <row r="29" spans="1:7" ht="47.25">
      <c r="A29" s="187"/>
      <c r="B29" s="188" t="s">
        <v>11</v>
      </c>
      <c r="C29" s="189" t="s">
        <v>8</v>
      </c>
      <c r="D29" s="189" t="s">
        <v>64</v>
      </c>
      <c r="E29" s="191" t="s">
        <v>17</v>
      </c>
      <c r="F29" s="189" t="s">
        <v>12</v>
      </c>
      <c r="G29" s="190">
        <f>'прил 4'!G44+'прил 4'!G282+'прил 4'!G334+'прил 4'!G387+'прил 4'!G463</f>
        <v>67761.38446</v>
      </c>
    </row>
    <row r="30" spans="1:7" ht="15.75">
      <c r="A30" s="187"/>
      <c r="B30" s="188" t="s">
        <v>18</v>
      </c>
      <c r="C30" s="189" t="s">
        <v>8</v>
      </c>
      <c r="D30" s="189" t="s">
        <v>64</v>
      </c>
      <c r="E30" s="191" t="s">
        <v>17</v>
      </c>
      <c r="F30" s="189" t="s">
        <v>19</v>
      </c>
      <c r="G30" s="190">
        <f>'прил 4'!G45+'прил 4'!G284+'прил 4'!G336+'прил 4'!G388+'прил 4'!G464</f>
        <v>3571.1410100000003</v>
      </c>
    </row>
    <row r="31" spans="1:7" ht="15.75">
      <c r="A31" s="187"/>
      <c r="B31" s="192" t="s">
        <v>49</v>
      </c>
      <c r="C31" s="189" t="s">
        <v>8</v>
      </c>
      <c r="D31" s="189" t="s">
        <v>64</v>
      </c>
      <c r="E31" s="191" t="s">
        <v>17</v>
      </c>
      <c r="F31" s="189" t="s">
        <v>50</v>
      </c>
      <c r="G31" s="190">
        <f>'прил 4'!G338</f>
        <v>258.36749999999995</v>
      </c>
    </row>
    <row r="32" spans="1:7" ht="15.75">
      <c r="A32" s="187"/>
      <c r="B32" s="188" t="s">
        <v>20</v>
      </c>
      <c r="C32" s="189" t="s">
        <v>8</v>
      </c>
      <c r="D32" s="189" t="s">
        <v>64</v>
      </c>
      <c r="E32" s="191" t="s">
        <v>17</v>
      </c>
      <c r="F32" s="189" t="s">
        <v>21</v>
      </c>
      <c r="G32" s="190">
        <f>'прил 4'!G46+'прил 4'!G286+'прил 4'!G389</f>
        <v>2313.4182499999997</v>
      </c>
    </row>
    <row r="33" spans="1:7" ht="17.25" customHeight="1">
      <c r="A33" s="187"/>
      <c r="B33" s="188" t="s">
        <v>34</v>
      </c>
      <c r="C33" s="189" t="s">
        <v>8</v>
      </c>
      <c r="D33" s="189" t="s">
        <v>64</v>
      </c>
      <c r="E33" s="191" t="s">
        <v>35</v>
      </c>
      <c r="F33" s="189"/>
      <c r="G33" s="190">
        <f>G34+G35</f>
        <v>8007.96479</v>
      </c>
    </row>
    <row r="34" spans="1:7" ht="47.25">
      <c r="A34" s="187"/>
      <c r="B34" s="188" t="s">
        <v>11</v>
      </c>
      <c r="C34" s="189" t="s">
        <v>8</v>
      </c>
      <c r="D34" s="189" t="s">
        <v>64</v>
      </c>
      <c r="E34" s="191" t="s">
        <v>35</v>
      </c>
      <c r="F34" s="189" t="s">
        <v>12</v>
      </c>
      <c r="G34" s="190">
        <f>'прил 4'!G48</f>
        <v>7931.30879</v>
      </c>
    </row>
    <row r="35" spans="1:7" ht="15.75">
      <c r="A35" s="187"/>
      <c r="B35" s="188" t="s">
        <v>18</v>
      </c>
      <c r="C35" s="189" t="s">
        <v>8</v>
      </c>
      <c r="D35" s="189" t="s">
        <v>64</v>
      </c>
      <c r="E35" s="191" t="s">
        <v>35</v>
      </c>
      <c r="F35" s="189" t="s">
        <v>19</v>
      </c>
      <c r="G35" s="190">
        <f>'прил 4'!G49</f>
        <v>76.656</v>
      </c>
    </row>
    <row r="36" spans="1:7" ht="15.75">
      <c r="A36" s="187"/>
      <c r="B36" s="188" t="s">
        <v>413</v>
      </c>
      <c r="C36" s="189" t="s">
        <v>8</v>
      </c>
      <c r="D36" s="189" t="s">
        <v>64</v>
      </c>
      <c r="E36" s="191" t="s">
        <v>352</v>
      </c>
      <c r="F36" s="189"/>
      <c r="G36" s="190">
        <f>G37</f>
        <v>950.0163299999999</v>
      </c>
    </row>
    <row r="37" spans="1:7" ht="15.75">
      <c r="A37" s="187"/>
      <c r="B37" s="188" t="s">
        <v>20</v>
      </c>
      <c r="C37" s="189" t="s">
        <v>8</v>
      </c>
      <c r="D37" s="189" t="s">
        <v>64</v>
      </c>
      <c r="E37" s="191" t="s">
        <v>352</v>
      </c>
      <c r="F37" s="189" t="s">
        <v>21</v>
      </c>
      <c r="G37" s="190">
        <f>'прил 4'!G51+'прил 4'!G340</f>
        <v>950.0163299999999</v>
      </c>
    </row>
    <row r="38" spans="1:7" ht="31.5">
      <c r="A38" s="187"/>
      <c r="B38" s="188" t="s">
        <v>26</v>
      </c>
      <c r="C38" s="189" t="s">
        <v>8</v>
      </c>
      <c r="D38" s="189" t="s">
        <v>178</v>
      </c>
      <c r="E38" s="189"/>
      <c r="F38" s="189"/>
      <c r="G38" s="190">
        <f>G39</f>
        <v>44219.60004000001</v>
      </c>
    </row>
    <row r="39" spans="1:7" ht="15.75">
      <c r="A39" s="187"/>
      <c r="B39" s="188" t="s">
        <v>9</v>
      </c>
      <c r="C39" s="189" t="s">
        <v>8</v>
      </c>
      <c r="D39" s="189" t="s">
        <v>178</v>
      </c>
      <c r="E39" s="191" t="s">
        <v>10</v>
      </c>
      <c r="F39" s="189"/>
      <c r="G39" s="190">
        <f>G40+G44+G47</f>
        <v>44219.60004000001</v>
      </c>
    </row>
    <row r="40" spans="1:7" ht="47.25">
      <c r="A40" s="187"/>
      <c r="B40" s="188" t="s">
        <v>16</v>
      </c>
      <c r="C40" s="189" t="s">
        <v>8</v>
      </c>
      <c r="D40" s="189" t="s">
        <v>178</v>
      </c>
      <c r="E40" s="191" t="s">
        <v>17</v>
      </c>
      <c r="F40" s="189"/>
      <c r="G40" s="190">
        <f>G41+G42+G43</f>
        <v>37938.742000000006</v>
      </c>
    </row>
    <row r="41" spans="1:7" ht="47.25">
      <c r="A41" s="187"/>
      <c r="B41" s="188" t="s">
        <v>11</v>
      </c>
      <c r="C41" s="189" t="s">
        <v>8</v>
      </c>
      <c r="D41" s="189" t="s">
        <v>178</v>
      </c>
      <c r="E41" s="191" t="s">
        <v>17</v>
      </c>
      <c r="F41" s="189" t="s">
        <v>12</v>
      </c>
      <c r="G41" s="190">
        <f>'прил 4'!G33+'прил 4'!G74</f>
        <v>32984.31672</v>
      </c>
    </row>
    <row r="42" spans="1:7" ht="15.75">
      <c r="A42" s="187"/>
      <c r="B42" s="188" t="s">
        <v>18</v>
      </c>
      <c r="C42" s="189" t="s">
        <v>8</v>
      </c>
      <c r="D42" s="189" t="s">
        <v>178</v>
      </c>
      <c r="E42" s="191" t="s">
        <v>17</v>
      </c>
      <c r="F42" s="189" t="s">
        <v>19</v>
      </c>
      <c r="G42" s="190">
        <f>'прил 4'!G34+'прил 4'!G75</f>
        <v>4899.127280000001</v>
      </c>
    </row>
    <row r="43" spans="1:7" ht="15.75">
      <c r="A43" s="187"/>
      <c r="B43" s="188" t="s">
        <v>20</v>
      </c>
      <c r="C43" s="189" t="s">
        <v>8</v>
      </c>
      <c r="D43" s="189" t="s">
        <v>178</v>
      </c>
      <c r="E43" s="191" t="s">
        <v>17</v>
      </c>
      <c r="F43" s="189" t="s">
        <v>21</v>
      </c>
      <c r="G43" s="190">
        <f>'прил 4'!G35+'прил 4'!G76</f>
        <v>55.298</v>
      </c>
    </row>
    <row r="44" spans="1:7" ht="31.5">
      <c r="A44" s="187"/>
      <c r="B44" s="188" t="s">
        <v>28</v>
      </c>
      <c r="C44" s="189" t="s">
        <v>8</v>
      </c>
      <c r="D44" s="189" t="s">
        <v>178</v>
      </c>
      <c r="E44" s="191" t="s">
        <v>29</v>
      </c>
      <c r="F44" s="189"/>
      <c r="G44" s="190">
        <f>G45+G46</f>
        <v>6207.97755</v>
      </c>
    </row>
    <row r="45" spans="1:7" ht="47.25">
      <c r="A45" s="187"/>
      <c r="B45" s="188" t="s">
        <v>11</v>
      </c>
      <c r="C45" s="189" t="s">
        <v>8</v>
      </c>
      <c r="D45" s="189" t="s">
        <v>178</v>
      </c>
      <c r="E45" s="191" t="s">
        <v>29</v>
      </c>
      <c r="F45" s="189" t="s">
        <v>12</v>
      </c>
      <c r="G45" s="190">
        <f>'прил 4'!G37</f>
        <v>6205.47755</v>
      </c>
    </row>
    <row r="46" spans="1:7" ht="15.75">
      <c r="A46" s="187"/>
      <c r="B46" s="188" t="s">
        <v>18</v>
      </c>
      <c r="C46" s="189" t="s">
        <v>8</v>
      </c>
      <c r="D46" s="189" t="s">
        <v>178</v>
      </c>
      <c r="E46" s="191" t="s">
        <v>29</v>
      </c>
      <c r="F46" s="189" t="s">
        <v>19</v>
      </c>
      <c r="G46" s="190">
        <f>'прил 4'!G38</f>
        <v>2.5</v>
      </c>
    </row>
    <row r="47" spans="1:7" ht="15.75">
      <c r="A47" s="187"/>
      <c r="B47" s="188" t="s">
        <v>413</v>
      </c>
      <c r="C47" s="189" t="s">
        <v>8</v>
      </c>
      <c r="D47" s="189" t="s">
        <v>178</v>
      </c>
      <c r="E47" s="191" t="s">
        <v>352</v>
      </c>
      <c r="F47" s="189"/>
      <c r="G47" s="190">
        <f>G48</f>
        <v>72.88049</v>
      </c>
    </row>
    <row r="48" spans="1:7" ht="15.75">
      <c r="A48" s="187"/>
      <c r="B48" s="188" t="s">
        <v>18</v>
      </c>
      <c r="C48" s="189" t="s">
        <v>8</v>
      </c>
      <c r="D48" s="189" t="s">
        <v>178</v>
      </c>
      <c r="E48" s="191" t="s">
        <v>352</v>
      </c>
      <c r="F48" s="189" t="s">
        <v>19</v>
      </c>
      <c r="G48" s="190">
        <f>'прил 4'!G78</f>
        <v>72.88049</v>
      </c>
    </row>
    <row r="49" spans="1:7" ht="15.75">
      <c r="A49" s="187"/>
      <c r="B49" s="188" t="s">
        <v>36</v>
      </c>
      <c r="C49" s="189" t="s">
        <v>8</v>
      </c>
      <c r="D49" s="189" t="s">
        <v>142</v>
      </c>
      <c r="E49" s="189"/>
      <c r="F49" s="189"/>
      <c r="G49" s="190">
        <f>G50</f>
        <v>200</v>
      </c>
    </row>
    <row r="50" spans="1:7" ht="15.75">
      <c r="A50" s="187"/>
      <c r="B50" s="193" t="s">
        <v>9</v>
      </c>
      <c r="C50" s="189" t="s">
        <v>8</v>
      </c>
      <c r="D50" s="189" t="s">
        <v>142</v>
      </c>
      <c r="E50" s="191" t="s">
        <v>10</v>
      </c>
      <c r="F50" s="189"/>
      <c r="G50" s="190">
        <f>G52</f>
        <v>200</v>
      </c>
    </row>
    <row r="51" spans="1:7" ht="15.75">
      <c r="A51" s="187"/>
      <c r="B51" s="188" t="s">
        <v>38</v>
      </c>
      <c r="C51" s="189" t="s">
        <v>8</v>
      </c>
      <c r="D51" s="189" t="s">
        <v>142</v>
      </c>
      <c r="E51" s="191" t="s">
        <v>39</v>
      </c>
      <c r="F51" s="194"/>
      <c r="G51" s="190">
        <f>G52</f>
        <v>200</v>
      </c>
    </row>
    <row r="52" spans="1:7" ht="15.75">
      <c r="A52" s="187"/>
      <c r="B52" s="188" t="s">
        <v>20</v>
      </c>
      <c r="C52" s="189" t="s">
        <v>8</v>
      </c>
      <c r="D52" s="189" t="s">
        <v>142</v>
      </c>
      <c r="E52" s="191" t="s">
        <v>39</v>
      </c>
      <c r="F52" s="194" t="s">
        <v>21</v>
      </c>
      <c r="G52" s="190">
        <f>'прил 4'!G55</f>
        <v>200</v>
      </c>
    </row>
    <row r="53" spans="1:7" ht="15.75">
      <c r="A53" s="187"/>
      <c r="B53" s="188" t="s">
        <v>40</v>
      </c>
      <c r="C53" s="189" t="s">
        <v>8</v>
      </c>
      <c r="D53" s="189" t="s">
        <v>179</v>
      </c>
      <c r="E53" s="189"/>
      <c r="F53" s="189"/>
      <c r="G53" s="190">
        <f>G54+G69+G84+G95+G102+G73</f>
        <v>54074.24573</v>
      </c>
    </row>
    <row r="54" spans="1:7" ht="31.5">
      <c r="A54" s="187"/>
      <c r="B54" s="44" t="s">
        <v>260</v>
      </c>
      <c r="C54" s="189" t="s">
        <v>8</v>
      </c>
      <c r="D54" s="189" t="s">
        <v>179</v>
      </c>
      <c r="E54" s="189" t="s">
        <v>112</v>
      </c>
      <c r="F54" s="189"/>
      <c r="G54" s="190">
        <f>G55+G57+G61+G63+G65+G67+G59</f>
        <v>3496.51602</v>
      </c>
    </row>
    <row r="55" spans="1:7" ht="63">
      <c r="A55" s="187"/>
      <c r="B55" s="69" t="s">
        <v>234</v>
      </c>
      <c r="C55" s="189" t="s">
        <v>8</v>
      </c>
      <c r="D55" s="189" t="s">
        <v>179</v>
      </c>
      <c r="E55" s="189" t="s">
        <v>114</v>
      </c>
      <c r="F55" s="189"/>
      <c r="G55" s="190">
        <f>G56</f>
        <v>500</v>
      </c>
    </row>
    <row r="56" spans="1:8" ht="15.75">
      <c r="A56" s="187"/>
      <c r="B56" s="188" t="s">
        <v>18</v>
      </c>
      <c r="C56" s="189" t="s">
        <v>8</v>
      </c>
      <c r="D56" s="189" t="s">
        <v>179</v>
      </c>
      <c r="E56" s="189" t="s">
        <v>114</v>
      </c>
      <c r="F56" s="189" t="s">
        <v>19</v>
      </c>
      <c r="G56" s="190">
        <f>'прил 4'!G290</f>
        <v>500</v>
      </c>
      <c r="H56" s="5"/>
    </row>
    <row r="57" spans="1:7" ht="78.75">
      <c r="A57" s="187"/>
      <c r="B57" s="195" t="s">
        <v>115</v>
      </c>
      <c r="C57" s="189" t="s">
        <v>8</v>
      </c>
      <c r="D57" s="189" t="s">
        <v>179</v>
      </c>
      <c r="E57" s="189" t="s">
        <v>116</v>
      </c>
      <c r="F57" s="189"/>
      <c r="G57" s="190">
        <f>G58</f>
        <v>500</v>
      </c>
    </row>
    <row r="58" spans="1:7" ht="15.75">
      <c r="A58" s="187"/>
      <c r="B58" s="188" t="s">
        <v>18</v>
      </c>
      <c r="C58" s="189" t="s">
        <v>8</v>
      </c>
      <c r="D58" s="189" t="s">
        <v>179</v>
      </c>
      <c r="E58" s="189" t="s">
        <v>116</v>
      </c>
      <c r="F58" s="189" t="s">
        <v>19</v>
      </c>
      <c r="G58" s="190">
        <f>'прил 4'!G292</f>
        <v>500</v>
      </c>
    </row>
    <row r="59" spans="1:7" ht="63">
      <c r="A59" s="187"/>
      <c r="B59" s="60" t="s">
        <v>372</v>
      </c>
      <c r="C59" s="189" t="s">
        <v>8</v>
      </c>
      <c r="D59" s="189" t="s">
        <v>179</v>
      </c>
      <c r="E59" s="189" t="s">
        <v>121</v>
      </c>
      <c r="F59" s="189"/>
      <c r="G59" s="190">
        <f>G60</f>
        <v>250</v>
      </c>
    </row>
    <row r="60" spans="1:7" ht="15.75">
      <c r="A60" s="187"/>
      <c r="B60" s="44" t="s">
        <v>18</v>
      </c>
      <c r="C60" s="189" t="s">
        <v>8</v>
      </c>
      <c r="D60" s="189" t="s">
        <v>179</v>
      </c>
      <c r="E60" s="189" t="s">
        <v>121</v>
      </c>
      <c r="F60" s="189" t="s">
        <v>19</v>
      </c>
      <c r="G60" s="190">
        <f>'прил 4'!G294</f>
        <v>250</v>
      </c>
    </row>
    <row r="61" spans="1:7" ht="78.75">
      <c r="A61" s="187"/>
      <c r="B61" s="195" t="s">
        <v>120</v>
      </c>
      <c r="C61" s="189" t="s">
        <v>8</v>
      </c>
      <c r="D61" s="189" t="s">
        <v>179</v>
      </c>
      <c r="E61" s="189" t="s">
        <v>123</v>
      </c>
      <c r="F61" s="189"/>
      <c r="G61" s="190">
        <f>G62</f>
        <v>1500</v>
      </c>
    </row>
    <row r="62" spans="1:7" ht="15.75">
      <c r="A62" s="187"/>
      <c r="B62" s="188" t="s">
        <v>18</v>
      </c>
      <c r="C62" s="189" t="s">
        <v>8</v>
      </c>
      <c r="D62" s="189" t="s">
        <v>179</v>
      </c>
      <c r="E62" s="189" t="s">
        <v>123</v>
      </c>
      <c r="F62" s="189" t="s">
        <v>19</v>
      </c>
      <c r="G62" s="190">
        <f>'прил 4'!G344</f>
        <v>1500</v>
      </c>
    </row>
    <row r="63" spans="1:7" ht="51.75" customHeight="1">
      <c r="A63" s="187"/>
      <c r="B63" s="196" t="s">
        <v>122</v>
      </c>
      <c r="C63" s="189" t="s">
        <v>8</v>
      </c>
      <c r="D63" s="189" t="s">
        <v>179</v>
      </c>
      <c r="E63" s="189" t="s">
        <v>189</v>
      </c>
      <c r="F63" s="189"/>
      <c r="G63" s="190">
        <f>G64</f>
        <v>500</v>
      </c>
    </row>
    <row r="64" spans="1:7" ht="15.75">
      <c r="A64" s="187"/>
      <c r="B64" s="188" t="s">
        <v>18</v>
      </c>
      <c r="C64" s="189" t="s">
        <v>8</v>
      </c>
      <c r="D64" s="189" t="s">
        <v>179</v>
      </c>
      <c r="E64" s="189" t="s">
        <v>189</v>
      </c>
      <c r="F64" s="189" t="s">
        <v>19</v>
      </c>
      <c r="G64" s="190">
        <f>'прил 4'!G347</f>
        <v>500</v>
      </c>
    </row>
    <row r="65" spans="1:7" ht="57" customHeight="1">
      <c r="A65" s="187"/>
      <c r="B65" s="196" t="s">
        <v>331</v>
      </c>
      <c r="C65" s="189" t="s">
        <v>8</v>
      </c>
      <c r="D65" s="189" t="s">
        <v>179</v>
      </c>
      <c r="E65" s="189" t="s">
        <v>257</v>
      </c>
      <c r="F65" s="189"/>
      <c r="G65" s="190">
        <f>G66</f>
        <v>96.51602</v>
      </c>
    </row>
    <row r="66" spans="1:7" ht="15.75">
      <c r="A66" s="187"/>
      <c r="B66" s="196" t="s">
        <v>18</v>
      </c>
      <c r="C66" s="189" t="s">
        <v>8</v>
      </c>
      <c r="D66" s="189" t="s">
        <v>179</v>
      </c>
      <c r="E66" s="189" t="s">
        <v>257</v>
      </c>
      <c r="F66" s="189" t="s">
        <v>19</v>
      </c>
      <c r="G66" s="190">
        <f>'прил 4'!G349</f>
        <v>96.51602</v>
      </c>
    </row>
    <row r="67" spans="1:7" ht="63">
      <c r="A67" s="187"/>
      <c r="B67" s="73" t="s">
        <v>292</v>
      </c>
      <c r="C67" s="189" t="s">
        <v>8</v>
      </c>
      <c r="D67" s="189" t="s">
        <v>179</v>
      </c>
      <c r="E67" s="191" t="s">
        <v>293</v>
      </c>
      <c r="F67" s="197"/>
      <c r="G67" s="190">
        <f>G68</f>
        <v>150</v>
      </c>
    </row>
    <row r="68" spans="1:7" ht="15.75">
      <c r="A68" s="187"/>
      <c r="B68" s="44" t="s">
        <v>18</v>
      </c>
      <c r="C68" s="189" t="s">
        <v>8</v>
      </c>
      <c r="D68" s="189" t="s">
        <v>179</v>
      </c>
      <c r="E68" s="191" t="s">
        <v>293</v>
      </c>
      <c r="F68" s="197" t="s">
        <v>19</v>
      </c>
      <c r="G68" s="190">
        <f>'прил 4'!G296</f>
        <v>150</v>
      </c>
    </row>
    <row r="69" spans="1:7" ht="31.5">
      <c r="A69" s="187"/>
      <c r="B69" s="188" t="s">
        <v>188</v>
      </c>
      <c r="C69" s="189" t="s">
        <v>8</v>
      </c>
      <c r="D69" s="189" t="s">
        <v>179</v>
      </c>
      <c r="E69" s="189" t="s">
        <v>53</v>
      </c>
      <c r="F69" s="189"/>
      <c r="G69" s="190">
        <f>G70</f>
        <v>100.57</v>
      </c>
    </row>
    <row r="70" spans="1:7" ht="94.5">
      <c r="A70" s="187"/>
      <c r="B70" s="195" t="s">
        <v>183</v>
      </c>
      <c r="C70" s="189" t="s">
        <v>8</v>
      </c>
      <c r="D70" s="189" t="s">
        <v>179</v>
      </c>
      <c r="E70" s="189" t="s">
        <v>54</v>
      </c>
      <c r="F70" s="189"/>
      <c r="G70" s="190">
        <f>G71+G72</f>
        <v>100.57</v>
      </c>
    </row>
    <row r="71" spans="1:7" ht="15.75">
      <c r="A71" s="187"/>
      <c r="B71" s="44" t="s">
        <v>18</v>
      </c>
      <c r="C71" s="189" t="s">
        <v>8</v>
      </c>
      <c r="D71" s="189" t="s">
        <v>179</v>
      </c>
      <c r="E71" s="189" t="s">
        <v>54</v>
      </c>
      <c r="F71" s="189" t="s">
        <v>19</v>
      </c>
      <c r="G71" s="190">
        <f>'прил 4'!G82</f>
        <v>0.5700000000000003</v>
      </c>
    </row>
    <row r="72" spans="1:7" ht="15.75">
      <c r="A72" s="187"/>
      <c r="B72" s="44" t="s">
        <v>20</v>
      </c>
      <c r="C72" s="189" t="s">
        <v>8</v>
      </c>
      <c r="D72" s="189" t="s">
        <v>179</v>
      </c>
      <c r="E72" s="189" t="s">
        <v>54</v>
      </c>
      <c r="F72" s="189" t="s">
        <v>21</v>
      </c>
      <c r="G72" s="190">
        <f>'прил 4'!G83</f>
        <v>100</v>
      </c>
    </row>
    <row r="73" spans="1:7" ht="31.5">
      <c r="A73" s="187"/>
      <c r="B73" s="44" t="s">
        <v>316</v>
      </c>
      <c r="C73" s="189" t="s">
        <v>8</v>
      </c>
      <c r="D73" s="189" t="s">
        <v>179</v>
      </c>
      <c r="E73" s="191" t="s">
        <v>317</v>
      </c>
      <c r="F73" s="197"/>
      <c r="G73" s="190">
        <f>G76+G80+G74+G78+G82</f>
        <v>1423.8639799999999</v>
      </c>
    </row>
    <row r="74" spans="1:7" ht="78.75">
      <c r="A74" s="187"/>
      <c r="B74" s="60" t="s">
        <v>340</v>
      </c>
      <c r="C74" s="189" t="s">
        <v>8</v>
      </c>
      <c r="D74" s="189" t="s">
        <v>179</v>
      </c>
      <c r="E74" s="191" t="s">
        <v>341</v>
      </c>
      <c r="F74" s="197"/>
      <c r="G74" s="190">
        <f>G75</f>
        <v>59.48398</v>
      </c>
    </row>
    <row r="75" spans="1:7" ht="15.75">
      <c r="A75" s="187"/>
      <c r="B75" s="44" t="s">
        <v>18</v>
      </c>
      <c r="C75" s="189" t="s">
        <v>8</v>
      </c>
      <c r="D75" s="189" t="s">
        <v>179</v>
      </c>
      <c r="E75" s="191" t="s">
        <v>341</v>
      </c>
      <c r="F75" s="197" t="s">
        <v>19</v>
      </c>
      <c r="G75" s="190">
        <f>'прил 4'!G352</f>
        <v>59.48398</v>
      </c>
    </row>
    <row r="76" spans="1:7" ht="78.75">
      <c r="A76" s="187"/>
      <c r="B76" s="73" t="s">
        <v>318</v>
      </c>
      <c r="C76" s="189" t="s">
        <v>8</v>
      </c>
      <c r="D76" s="189" t="s">
        <v>179</v>
      </c>
      <c r="E76" s="191" t="s">
        <v>319</v>
      </c>
      <c r="F76" s="197"/>
      <c r="G76" s="190">
        <f>G77</f>
        <v>98</v>
      </c>
    </row>
    <row r="77" spans="1:7" ht="15.75">
      <c r="A77" s="187"/>
      <c r="B77" s="44" t="s">
        <v>18</v>
      </c>
      <c r="C77" s="189" t="s">
        <v>8</v>
      </c>
      <c r="D77" s="189" t="s">
        <v>179</v>
      </c>
      <c r="E77" s="191" t="s">
        <v>319</v>
      </c>
      <c r="F77" s="197" t="s">
        <v>19</v>
      </c>
      <c r="G77" s="190">
        <f>'прил 4'!G354</f>
        <v>98</v>
      </c>
    </row>
    <row r="78" spans="1:7" ht="94.5">
      <c r="A78" s="187"/>
      <c r="B78" s="60" t="s">
        <v>378</v>
      </c>
      <c r="C78" s="189" t="s">
        <v>8</v>
      </c>
      <c r="D78" s="189" t="s">
        <v>179</v>
      </c>
      <c r="E78" s="191" t="s">
        <v>377</v>
      </c>
      <c r="F78" s="197"/>
      <c r="G78" s="190">
        <f>G79</f>
        <v>966.2964</v>
      </c>
    </row>
    <row r="79" spans="1:7" ht="15.75">
      <c r="A79" s="187"/>
      <c r="B79" s="44" t="s">
        <v>18</v>
      </c>
      <c r="C79" s="189" t="s">
        <v>8</v>
      </c>
      <c r="D79" s="189" t="s">
        <v>179</v>
      </c>
      <c r="E79" s="191" t="s">
        <v>377</v>
      </c>
      <c r="F79" s="197" t="s">
        <v>19</v>
      </c>
      <c r="G79" s="190">
        <f>'прил 4'!G356</f>
        <v>966.2964</v>
      </c>
    </row>
    <row r="80" spans="1:7" ht="94.5">
      <c r="A80" s="187"/>
      <c r="B80" s="73" t="s">
        <v>321</v>
      </c>
      <c r="C80" s="189" t="s">
        <v>8</v>
      </c>
      <c r="D80" s="189" t="s">
        <v>179</v>
      </c>
      <c r="E80" s="191" t="s">
        <v>320</v>
      </c>
      <c r="F80" s="197"/>
      <c r="G80" s="190">
        <f>G81</f>
        <v>200</v>
      </c>
    </row>
    <row r="81" spans="1:7" ht="15.75">
      <c r="A81" s="187"/>
      <c r="B81" s="44" t="s">
        <v>18</v>
      </c>
      <c r="C81" s="189" t="s">
        <v>8</v>
      </c>
      <c r="D81" s="189" t="s">
        <v>179</v>
      </c>
      <c r="E81" s="191" t="s">
        <v>320</v>
      </c>
      <c r="F81" s="197" t="s">
        <v>19</v>
      </c>
      <c r="G81" s="190">
        <f>'прил 4'!G358</f>
        <v>200</v>
      </c>
    </row>
    <row r="82" spans="1:7" ht="78.75">
      <c r="A82" s="187"/>
      <c r="B82" s="60" t="s">
        <v>411</v>
      </c>
      <c r="C82" s="189" t="s">
        <v>8</v>
      </c>
      <c r="D82" s="189" t="s">
        <v>179</v>
      </c>
      <c r="E82" s="191" t="s">
        <v>410</v>
      </c>
      <c r="F82" s="197"/>
      <c r="G82" s="190">
        <f>G83</f>
        <v>100.0836</v>
      </c>
    </row>
    <row r="83" spans="1:7" ht="15.75">
      <c r="A83" s="187"/>
      <c r="B83" s="44" t="s">
        <v>18</v>
      </c>
      <c r="C83" s="189" t="s">
        <v>8</v>
      </c>
      <c r="D83" s="189" t="s">
        <v>179</v>
      </c>
      <c r="E83" s="191" t="s">
        <v>410</v>
      </c>
      <c r="F83" s="197" t="s">
        <v>19</v>
      </c>
      <c r="G83" s="190">
        <f>'прил 4'!G360</f>
        <v>100.0836</v>
      </c>
    </row>
    <row r="84" spans="1:7" ht="31.5">
      <c r="A84" s="187"/>
      <c r="B84" s="69" t="s">
        <v>256</v>
      </c>
      <c r="C84" s="189" t="s">
        <v>8</v>
      </c>
      <c r="D84" s="189" t="s">
        <v>179</v>
      </c>
      <c r="E84" s="189" t="s">
        <v>102</v>
      </c>
      <c r="F84" s="189"/>
      <c r="G84" s="190">
        <f>G85+G92</f>
        <v>1060.39903</v>
      </c>
    </row>
    <row r="85" spans="1:7" ht="31.5">
      <c r="A85" s="187"/>
      <c r="B85" s="69" t="s">
        <v>210</v>
      </c>
      <c r="C85" s="189" t="s">
        <v>8</v>
      </c>
      <c r="D85" s="189" t="s">
        <v>179</v>
      </c>
      <c r="E85" s="189" t="s">
        <v>211</v>
      </c>
      <c r="F85" s="189"/>
      <c r="G85" s="190">
        <f>G86+G88+G90</f>
        <v>1030.39903</v>
      </c>
    </row>
    <row r="86" spans="1:7" ht="63">
      <c r="A86" s="187"/>
      <c r="B86" s="69" t="s">
        <v>249</v>
      </c>
      <c r="C86" s="189" t="s">
        <v>8</v>
      </c>
      <c r="D86" s="189" t="s">
        <v>179</v>
      </c>
      <c r="E86" s="189" t="s">
        <v>262</v>
      </c>
      <c r="F86" s="189"/>
      <c r="G86" s="190">
        <f>G87</f>
        <v>150</v>
      </c>
    </row>
    <row r="87" spans="1:7" ht="47.25">
      <c r="A87" s="187"/>
      <c r="B87" s="69" t="s">
        <v>11</v>
      </c>
      <c r="C87" s="189" t="s">
        <v>8</v>
      </c>
      <c r="D87" s="189" t="s">
        <v>179</v>
      </c>
      <c r="E87" s="189" t="s">
        <v>262</v>
      </c>
      <c r="F87" s="189" t="s">
        <v>12</v>
      </c>
      <c r="G87" s="190">
        <f>'прил 4'!G469</f>
        <v>150</v>
      </c>
    </row>
    <row r="88" spans="1:7" ht="63">
      <c r="A88" s="187"/>
      <c r="B88" s="69" t="s">
        <v>305</v>
      </c>
      <c r="C88" s="189" t="s">
        <v>8</v>
      </c>
      <c r="D88" s="189" t="s">
        <v>179</v>
      </c>
      <c r="E88" s="191" t="s">
        <v>296</v>
      </c>
      <c r="F88" s="189"/>
      <c r="G88" s="190">
        <f>G89</f>
        <v>150</v>
      </c>
    </row>
    <row r="89" spans="1:7" ht="47.25">
      <c r="A89" s="187"/>
      <c r="B89" s="44" t="s">
        <v>11</v>
      </c>
      <c r="C89" s="189" t="s">
        <v>8</v>
      </c>
      <c r="D89" s="189" t="s">
        <v>179</v>
      </c>
      <c r="E89" s="191" t="s">
        <v>296</v>
      </c>
      <c r="F89" s="189" t="s">
        <v>12</v>
      </c>
      <c r="G89" s="190">
        <f>'прил 4'!G471</f>
        <v>150</v>
      </c>
    </row>
    <row r="90" spans="1:7" ht="78.75">
      <c r="A90" s="187"/>
      <c r="B90" s="69" t="s">
        <v>103</v>
      </c>
      <c r="C90" s="189" t="s">
        <v>8</v>
      </c>
      <c r="D90" s="189" t="s">
        <v>179</v>
      </c>
      <c r="E90" s="189" t="s">
        <v>212</v>
      </c>
      <c r="F90" s="189"/>
      <c r="G90" s="190">
        <f>G91</f>
        <v>730.39903</v>
      </c>
    </row>
    <row r="91" spans="1:7" ht="15.75">
      <c r="A91" s="187"/>
      <c r="B91" s="44" t="s">
        <v>18</v>
      </c>
      <c r="C91" s="189" t="s">
        <v>8</v>
      </c>
      <c r="D91" s="189" t="s">
        <v>179</v>
      </c>
      <c r="E91" s="189" t="s">
        <v>212</v>
      </c>
      <c r="F91" s="189" t="s">
        <v>19</v>
      </c>
      <c r="G91" s="190">
        <f>'прил 4'!G473</f>
        <v>730.39903</v>
      </c>
    </row>
    <row r="92" spans="1:7" ht="31.5">
      <c r="A92" s="187"/>
      <c r="B92" s="44" t="s">
        <v>213</v>
      </c>
      <c r="C92" s="189" t="s">
        <v>8</v>
      </c>
      <c r="D92" s="189" t="s">
        <v>179</v>
      </c>
      <c r="E92" s="189" t="s">
        <v>215</v>
      </c>
      <c r="F92" s="189"/>
      <c r="G92" s="190">
        <f>G93</f>
        <v>30</v>
      </c>
    </row>
    <row r="93" spans="1:7" ht="94.5">
      <c r="A93" s="187"/>
      <c r="B93" s="69" t="s">
        <v>152</v>
      </c>
      <c r="C93" s="189" t="s">
        <v>8</v>
      </c>
      <c r="D93" s="189" t="s">
        <v>179</v>
      </c>
      <c r="E93" s="189" t="s">
        <v>214</v>
      </c>
      <c r="F93" s="189"/>
      <c r="G93" s="190">
        <f>G94</f>
        <v>30</v>
      </c>
    </row>
    <row r="94" spans="1:7" ht="15.75">
      <c r="A94" s="187"/>
      <c r="B94" s="44" t="s">
        <v>18</v>
      </c>
      <c r="C94" s="189" t="s">
        <v>8</v>
      </c>
      <c r="D94" s="189" t="s">
        <v>179</v>
      </c>
      <c r="E94" s="189" t="s">
        <v>214</v>
      </c>
      <c r="F94" s="189" t="s">
        <v>19</v>
      </c>
      <c r="G94" s="190">
        <f>'прил 4'!G476</f>
        <v>30</v>
      </c>
    </row>
    <row r="95" spans="1:7" ht="31.5">
      <c r="A95" s="187"/>
      <c r="B95" s="44" t="s">
        <v>185</v>
      </c>
      <c r="C95" s="189" t="s">
        <v>8</v>
      </c>
      <c r="D95" s="189" t="s">
        <v>179</v>
      </c>
      <c r="E95" s="189" t="s">
        <v>117</v>
      </c>
      <c r="F95" s="189"/>
      <c r="G95" s="190">
        <f>G96+G99</f>
        <v>2650.5830699999997</v>
      </c>
    </row>
    <row r="96" spans="1:7" ht="31.5">
      <c r="A96" s="187"/>
      <c r="B96" s="44" t="s">
        <v>190</v>
      </c>
      <c r="C96" s="189" t="s">
        <v>8</v>
      </c>
      <c r="D96" s="189" t="s">
        <v>179</v>
      </c>
      <c r="E96" s="189" t="s">
        <v>124</v>
      </c>
      <c r="F96" s="189"/>
      <c r="G96" s="190">
        <f>G97</f>
        <v>2006.5830699999997</v>
      </c>
    </row>
    <row r="97" spans="1:7" ht="44.25" customHeight="1">
      <c r="A97" s="187"/>
      <c r="B97" s="69" t="s">
        <v>330</v>
      </c>
      <c r="C97" s="189" t="s">
        <v>8</v>
      </c>
      <c r="D97" s="189" t="s">
        <v>179</v>
      </c>
      <c r="E97" s="191" t="s">
        <v>329</v>
      </c>
      <c r="F97" s="189"/>
      <c r="G97" s="190">
        <f>G98</f>
        <v>2006.5830699999997</v>
      </c>
    </row>
    <row r="98" spans="1:7" ht="15.75">
      <c r="A98" s="187"/>
      <c r="B98" s="44" t="s">
        <v>18</v>
      </c>
      <c r="C98" s="189" t="s">
        <v>8</v>
      </c>
      <c r="D98" s="189" t="s">
        <v>179</v>
      </c>
      <c r="E98" s="191" t="s">
        <v>329</v>
      </c>
      <c r="F98" s="189" t="s">
        <v>19</v>
      </c>
      <c r="G98" s="190">
        <f>'прил 4'!G364</f>
        <v>2006.5830699999997</v>
      </c>
    </row>
    <row r="99" spans="1:7" ht="31.5">
      <c r="A99" s="187"/>
      <c r="B99" s="69" t="s">
        <v>235</v>
      </c>
      <c r="C99" s="189" t="s">
        <v>8</v>
      </c>
      <c r="D99" s="189" t="s">
        <v>179</v>
      </c>
      <c r="E99" s="189" t="s">
        <v>125</v>
      </c>
      <c r="F99" s="189"/>
      <c r="G99" s="190">
        <f>G100</f>
        <v>644</v>
      </c>
    </row>
    <row r="100" spans="1:7" ht="42" customHeight="1">
      <c r="A100" s="187"/>
      <c r="B100" s="69" t="s">
        <v>236</v>
      </c>
      <c r="C100" s="189" t="s">
        <v>8</v>
      </c>
      <c r="D100" s="189" t="s">
        <v>179</v>
      </c>
      <c r="E100" s="189" t="s">
        <v>237</v>
      </c>
      <c r="F100" s="189"/>
      <c r="G100" s="190">
        <f>G101</f>
        <v>644</v>
      </c>
    </row>
    <row r="101" spans="1:7" ht="15.75">
      <c r="A101" s="187"/>
      <c r="B101" s="44" t="s">
        <v>18</v>
      </c>
      <c r="C101" s="189" t="s">
        <v>8</v>
      </c>
      <c r="D101" s="189" t="s">
        <v>179</v>
      </c>
      <c r="E101" s="189" t="s">
        <v>237</v>
      </c>
      <c r="F101" s="189" t="s">
        <v>19</v>
      </c>
      <c r="G101" s="190">
        <f>'прил 4'!G367</f>
        <v>644</v>
      </c>
    </row>
    <row r="102" spans="1:7" ht="15.75">
      <c r="A102" s="187"/>
      <c r="B102" s="44" t="s">
        <v>78</v>
      </c>
      <c r="C102" s="189" t="s">
        <v>8</v>
      </c>
      <c r="D102" s="189" t="s">
        <v>179</v>
      </c>
      <c r="E102" s="189" t="s">
        <v>10</v>
      </c>
      <c r="F102" s="189"/>
      <c r="G102" s="190">
        <f>G111+G109+G118+G103+G113+G123+G105+G107</f>
        <v>45342.31363</v>
      </c>
    </row>
    <row r="103" spans="1:7" ht="31.5">
      <c r="A103" s="187"/>
      <c r="B103" s="44" t="s">
        <v>252</v>
      </c>
      <c r="C103" s="189" t="s">
        <v>8</v>
      </c>
      <c r="D103" s="189" t="s">
        <v>179</v>
      </c>
      <c r="E103" s="191" t="s">
        <v>48</v>
      </c>
      <c r="F103" s="189"/>
      <c r="G103" s="190">
        <f>G104</f>
        <v>3658.90386</v>
      </c>
    </row>
    <row r="104" spans="1:7" ht="15.75">
      <c r="A104" s="187"/>
      <c r="B104" s="48" t="s">
        <v>49</v>
      </c>
      <c r="C104" s="189" t="s">
        <v>8</v>
      </c>
      <c r="D104" s="189" t="s">
        <v>179</v>
      </c>
      <c r="E104" s="191" t="s">
        <v>48</v>
      </c>
      <c r="F104" s="189" t="s">
        <v>50</v>
      </c>
      <c r="G104" s="190">
        <f>'прил 4'!G59</f>
        <v>3658.90386</v>
      </c>
    </row>
    <row r="105" spans="1:7" ht="31.5">
      <c r="A105" s="187"/>
      <c r="B105" s="87" t="s">
        <v>383</v>
      </c>
      <c r="C105" s="189" t="s">
        <v>8</v>
      </c>
      <c r="D105" s="189" t="s">
        <v>179</v>
      </c>
      <c r="E105" s="191" t="s">
        <v>384</v>
      </c>
      <c r="F105" s="189"/>
      <c r="G105" s="190">
        <f>G106</f>
        <v>150</v>
      </c>
    </row>
    <row r="106" spans="1:7" ht="15.75">
      <c r="A106" s="187"/>
      <c r="B106" s="87" t="s">
        <v>385</v>
      </c>
      <c r="C106" s="189" t="s">
        <v>8</v>
      </c>
      <c r="D106" s="189" t="s">
        <v>179</v>
      </c>
      <c r="E106" s="191" t="s">
        <v>384</v>
      </c>
      <c r="F106" s="189" t="s">
        <v>50</v>
      </c>
      <c r="G106" s="190">
        <f>'прил 4'!G61</f>
        <v>150</v>
      </c>
    </row>
    <row r="107" spans="1:7" ht="47.25">
      <c r="A107" s="187"/>
      <c r="B107" s="87" t="s">
        <v>417</v>
      </c>
      <c r="C107" s="81" t="s">
        <v>8</v>
      </c>
      <c r="D107" s="81" t="s">
        <v>179</v>
      </c>
      <c r="E107" s="81" t="s">
        <v>151</v>
      </c>
      <c r="F107" s="189"/>
      <c r="G107" s="190">
        <f>G108</f>
        <v>1034.5</v>
      </c>
    </row>
    <row r="108" spans="1:7" ht="15.75">
      <c r="A108" s="187"/>
      <c r="B108" s="87" t="s">
        <v>18</v>
      </c>
      <c r="C108" s="81" t="s">
        <v>8</v>
      </c>
      <c r="D108" s="81" t="s">
        <v>179</v>
      </c>
      <c r="E108" s="81" t="s">
        <v>151</v>
      </c>
      <c r="F108" s="189" t="s">
        <v>19</v>
      </c>
      <c r="G108" s="190">
        <f>'прил 4'!G99</f>
        <v>1034.5</v>
      </c>
    </row>
    <row r="109" spans="1:7" ht="47.25">
      <c r="A109" s="187"/>
      <c r="B109" s="44" t="s">
        <v>267</v>
      </c>
      <c r="C109" s="189" t="s">
        <v>8</v>
      </c>
      <c r="D109" s="189" t="s">
        <v>179</v>
      </c>
      <c r="E109" s="191" t="s">
        <v>266</v>
      </c>
      <c r="F109" s="189"/>
      <c r="G109" s="190">
        <f>G110</f>
        <v>6400</v>
      </c>
    </row>
    <row r="110" spans="1:7" ht="31.5">
      <c r="A110" s="187"/>
      <c r="B110" s="44" t="s">
        <v>61</v>
      </c>
      <c r="C110" s="189" t="s">
        <v>8</v>
      </c>
      <c r="D110" s="189" t="s">
        <v>179</v>
      </c>
      <c r="E110" s="191" t="s">
        <v>266</v>
      </c>
      <c r="F110" s="189" t="s">
        <v>62</v>
      </c>
      <c r="G110" s="190">
        <f>'прил 4'!G101</f>
        <v>6400</v>
      </c>
    </row>
    <row r="111" spans="1:7" ht="47.25">
      <c r="A111" s="187"/>
      <c r="B111" s="44" t="s">
        <v>42</v>
      </c>
      <c r="C111" s="198" t="s">
        <v>8</v>
      </c>
      <c r="D111" s="198" t="s">
        <v>179</v>
      </c>
      <c r="E111" s="191" t="s">
        <v>43</v>
      </c>
      <c r="F111" s="198"/>
      <c r="G111" s="190">
        <f>G112</f>
        <v>1278.0500000000002</v>
      </c>
    </row>
    <row r="112" spans="1:7" ht="15.75">
      <c r="A112" s="187"/>
      <c r="B112" s="44" t="s">
        <v>20</v>
      </c>
      <c r="C112" s="198" t="s">
        <v>8</v>
      </c>
      <c r="D112" s="198" t="s">
        <v>179</v>
      </c>
      <c r="E112" s="191" t="s">
        <v>43</v>
      </c>
      <c r="F112" s="198" t="s">
        <v>21</v>
      </c>
      <c r="G112" s="190">
        <f>'прил 4'!G63</f>
        <v>1278.0500000000002</v>
      </c>
    </row>
    <row r="113" spans="1:7" ht="31.5">
      <c r="A113" s="187"/>
      <c r="B113" s="44" t="s">
        <v>342</v>
      </c>
      <c r="C113" s="189" t="s">
        <v>8</v>
      </c>
      <c r="D113" s="189" t="s">
        <v>179</v>
      </c>
      <c r="E113" s="191" t="s">
        <v>343</v>
      </c>
      <c r="F113" s="197"/>
      <c r="G113" s="190">
        <f>G114+G115+G116+G117</f>
        <v>8452.053670000001</v>
      </c>
    </row>
    <row r="114" spans="1:7" ht="47.25">
      <c r="A114" s="187"/>
      <c r="B114" s="44" t="s">
        <v>11</v>
      </c>
      <c r="C114" s="198" t="s">
        <v>8</v>
      </c>
      <c r="D114" s="198" t="s">
        <v>179</v>
      </c>
      <c r="E114" s="191" t="s">
        <v>343</v>
      </c>
      <c r="F114" s="197" t="s">
        <v>12</v>
      </c>
      <c r="G114" s="190">
        <f>'прил 4'!G371</f>
        <v>6113.55367</v>
      </c>
    </row>
    <row r="115" spans="1:7" ht="15.75">
      <c r="A115" s="187"/>
      <c r="B115" s="44" t="s">
        <v>18</v>
      </c>
      <c r="C115" s="198" t="s">
        <v>8</v>
      </c>
      <c r="D115" s="198" t="s">
        <v>179</v>
      </c>
      <c r="E115" s="191" t="s">
        <v>343</v>
      </c>
      <c r="F115" s="197" t="s">
        <v>19</v>
      </c>
      <c r="G115" s="190">
        <f>'прил 4'!G372</f>
        <v>2228</v>
      </c>
    </row>
    <row r="116" spans="1:7" ht="15.75">
      <c r="A116" s="187"/>
      <c r="B116" s="44" t="s">
        <v>385</v>
      </c>
      <c r="C116" s="198" t="s">
        <v>8</v>
      </c>
      <c r="D116" s="198" t="s">
        <v>179</v>
      </c>
      <c r="E116" s="191" t="s">
        <v>343</v>
      </c>
      <c r="F116" s="197" t="s">
        <v>50</v>
      </c>
      <c r="G116" s="190">
        <f>'прил 4'!G373</f>
        <v>110</v>
      </c>
    </row>
    <row r="117" spans="1:7" ht="15.75">
      <c r="A117" s="187"/>
      <c r="B117" s="44" t="s">
        <v>20</v>
      </c>
      <c r="C117" s="198" t="s">
        <v>8</v>
      </c>
      <c r="D117" s="198" t="s">
        <v>179</v>
      </c>
      <c r="E117" s="191" t="s">
        <v>343</v>
      </c>
      <c r="F117" s="197" t="s">
        <v>21</v>
      </c>
      <c r="G117" s="190">
        <f>'прил 4'!G374</f>
        <v>0.5</v>
      </c>
    </row>
    <row r="118" spans="1:7" ht="47.25" customHeight="1">
      <c r="A118" s="187"/>
      <c r="B118" s="44" t="s">
        <v>158</v>
      </c>
      <c r="C118" s="198" t="s">
        <v>8</v>
      </c>
      <c r="D118" s="198" t="s">
        <v>179</v>
      </c>
      <c r="E118" s="191" t="s">
        <v>159</v>
      </c>
      <c r="F118" s="198"/>
      <c r="G118" s="190">
        <f>G119+G120+G122+G121</f>
        <v>24299.20513</v>
      </c>
    </row>
    <row r="119" spans="1:7" ht="47.25">
      <c r="A119" s="187"/>
      <c r="B119" s="44" t="s">
        <v>11</v>
      </c>
      <c r="C119" s="198" t="s">
        <v>8</v>
      </c>
      <c r="D119" s="198" t="s">
        <v>179</v>
      </c>
      <c r="E119" s="191" t="s">
        <v>159</v>
      </c>
      <c r="F119" s="198" t="s">
        <v>12</v>
      </c>
      <c r="G119" s="190">
        <f>'прил 4'!G480</f>
        <v>14028.12502</v>
      </c>
    </row>
    <row r="120" spans="1:7" ht="15.75">
      <c r="A120" s="187"/>
      <c r="B120" s="44" t="s">
        <v>18</v>
      </c>
      <c r="C120" s="198" t="s">
        <v>8</v>
      </c>
      <c r="D120" s="198" t="s">
        <v>179</v>
      </c>
      <c r="E120" s="191" t="s">
        <v>159</v>
      </c>
      <c r="F120" s="198" t="s">
        <v>19</v>
      </c>
      <c r="G120" s="190">
        <f>'прил 4'!G481</f>
        <v>9458.57874</v>
      </c>
    </row>
    <row r="121" spans="1:7" ht="15.75">
      <c r="A121" s="187"/>
      <c r="B121" s="48" t="s">
        <v>49</v>
      </c>
      <c r="C121" s="198" t="s">
        <v>8</v>
      </c>
      <c r="D121" s="198" t="s">
        <v>179</v>
      </c>
      <c r="E121" s="191" t="s">
        <v>159</v>
      </c>
      <c r="F121" s="198" t="s">
        <v>50</v>
      </c>
      <c r="G121" s="190">
        <f>'прил 4'!G483</f>
        <v>644.71637</v>
      </c>
    </row>
    <row r="122" spans="1:7" ht="15.75">
      <c r="A122" s="187"/>
      <c r="B122" s="44" t="s">
        <v>20</v>
      </c>
      <c r="C122" s="198" t="s">
        <v>8</v>
      </c>
      <c r="D122" s="198" t="s">
        <v>179</v>
      </c>
      <c r="E122" s="191" t="s">
        <v>159</v>
      </c>
      <c r="F122" s="198" t="s">
        <v>21</v>
      </c>
      <c r="G122" s="190">
        <f>'прил 4'!G484</f>
        <v>167.785</v>
      </c>
    </row>
    <row r="123" spans="1:7" ht="47.25">
      <c r="A123" s="187"/>
      <c r="B123" s="79" t="s">
        <v>344</v>
      </c>
      <c r="C123" s="198" t="s">
        <v>8</v>
      </c>
      <c r="D123" s="198" t="s">
        <v>179</v>
      </c>
      <c r="E123" s="191" t="s">
        <v>345</v>
      </c>
      <c r="F123" s="197"/>
      <c r="G123" s="190">
        <f>G124</f>
        <v>69.60097</v>
      </c>
    </row>
    <row r="124" spans="1:7" ht="15.75">
      <c r="A124" s="187"/>
      <c r="B124" s="79" t="s">
        <v>18</v>
      </c>
      <c r="C124" s="198" t="s">
        <v>8</v>
      </c>
      <c r="D124" s="198" t="s">
        <v>179</v>
      </c>
      <c r="E124" s="191" t="s">
        <v>345</v>
      </c>
      <c r="F124" s="197" t="s">
        <v>19</v>
      </c>
      <c r="G124" s="190">
        <f>'прил 4'!G486</f>
        <v>69.60097</v>
      </c>
    </row>
    <row r="125" spans="1:7" s="4" customFormat="1" ht="15.75">
      <c r="A125" s="183">
        <v>2</v>
      </c>
      <c r="B125" s="184" t="s">
        <v>153</v>
      </c>
      <c r="C125" s="199" t="s">
        <v>154</v>
      </c>
      <c r="D125" s="199"/>
      <c r="E125" s="199"/>
      <c r="F125" s="199"/>
      <c r="G125" s="200">
        <f>G126</f>
        <v>2159.42697</v>
      </c>
    </row>
    <row r="126" spans="1:7" ht="31.5">
      <c r="A126" s="187"/>
      <c r="B126" s="188" t="s">
        <v>258</v>
      </c>
      <c r="C126" s="189" t="s">
        <v>154</v>
      </c>
      <c r="D126" s="189" t="s">
        <v>45</v>
      </c>
      <c r="E126" s="189"/>
      <c r="F126" s="189"/>
      <c r="G126" s="190">
        <f>G127</f>
        <v>2159.42697</v>
      </c>
    </row>
    <row r="127" spans="1:7" ht="27" customHeight="1">
      <c r="A127" s="187"/>
      <c r="B127" s="188" t="s">
        <v>216</v>
      </c>
      <c r="C127" s="189" t="s">
        <v>154</v>
      </c>
      <c r="D127" s="189" t="s">
        <v>45</v>
      </c>
      <c r="E127" s="191" t="s">
        <v>155</v>
      </c>
      <c r="F127" s="189"/>
      <c r="G127" s="190">
        <f>G128+G132+G130</f>
        <v>2159.42697</v>
      </c>
    </row>
    <row r="128" spans="1:7" ht="78.75">
      <c r="A128" s="187"/>
      <c r="B128" s="195" t="s">
        <v>156</v>
      </c>
      <c r="C128" s="189" t="s">
        <v>154</v>
      </c>
      <c r="D128" s="189" t="s">
        <v>45</v>
      </c>
      <c r="E128" s="191" t="s">
        <v>157</v>
      </c>
      <c r="F128" s="189"/>
      <c r="G128" s="190">
        <f>'прил 5'!G129</f>
        <v>555.42697</v>
      </c>
    </row>
    <row r="129" spans="1:7" ht="15.75">
      <c r="A129" s="187"/>
      <c r="B129" s="188" t="s">
        <v>18</v>
      </c>
      <c r="C129" s="189" t="s">
        <v>154</v>
      </c>
      <c r="D129" s="189" t="s">
        <v>45</v>
      </c>
      <c r="E129" s="191" t="s">
        <v>157</v>
      </c>
      <c r="F129" s="189" t="s">
        <v>19</v>
      </c>
      <c r="G129" s="190">
        <f>'прил 4'!G491</f>
        <v>555.42697</v>
      </c>
    </row>
    <row r="130" spans="1:7" ht="78.75">
      <c r="A130" s="187"/>
      <c r="B130" s="87" t="s">
        <v>156</v>
      </c>
      <c r="C130" s="189" t="s">
        <v>154</v>
      </c>
      <c r="D130" s="189" t="s">
        <v>45</v>
      </c>
      <c r="E130" s="191" t="s">
        <v>157</v>
      </c>
      <c r="F130" s="189"/>
      <c r="G130" s="190">
        <f>G131</f>
        <v>1200</v>
      </c>
    </row>
    <row r="131" spans="1:7" ht="31.5">
      <c r="A131" s="187"/>
      <c r="B131" s="79" t="s">
        <v>61</v>
      </c>
      <c r="C131" s="189" t="s">
        <v>154</v>
      </c>
      <c r="D131" s="189" t="s">
        <v>45</v>
      </c>
      <c r="E131" s="191" t="s">
        <v>157</v>
      </c>
      <c r="F131" s="189" t="s">
        <v>62</v>
      </c>
      <c r="G131" s="190">
        <f>'прил 4'!G106</f>
        <v>1200</v>
      </c>
    </row>
    <row r="132" spans="1:7" ht="84" customHeight="1">
      <c r="A132" s="187"/>
      <c r="B132" s="195" t="s">
        <v>264</v>
      </c>
      <c r="C132" s="189" t="s">
        <v>154</v>
      </c>
      <c r="D132" s="189" t="s">
        <v>45</v>
      </c>
      <c r="E132" s="191" t="s">
        <v>263</v>
      </c>
      <c r="F132" s="189"/>
      <c r="G132" s="190">
        <f>G133</f>
        <v>404</v>
      </c>
    </row>
    <row r="133" spans="1:7" ht="15.75">
      <c r="A133" s="187"/>
      <c r="B133" s="195" t="s">
        <v>18</v>
      </c>
      <c r="C133" s="189" t="s">
        <v>154</v>
      </c>
      <c r="D133" s="189" t="s">
        <v>45</v>
      </c>
      <c r="E133" s="191" t="s">
        <v>263</v>
      </c>
      <c r="F133" s="189" t="s">
        <v>19</v>
      </c>
      <c r="G133" s="190">
        <f>'прил 4'!G493</f>
        <v>404</v>
      </c>
    </row>
    <row r="134" spans="1:7" s="4" customFormat="1" ht="15.75">
      <c r="A134" s="183">
        <v>3</v>
      </c>
      <c r="B134" s="184" t="s">
        <v>63</v>
      </c>
      <c r="C134" s="185" t="s">
        <v>64</v>
      </c>
      <c r="D134" s="185"/>
      <c r="E134" s="185"/>
      <c r="F134" s="185"/>
      <c r="G134" s="186">
        <f>G142+G135+G163</f>
        <v>74968.075</v>
      </c>
    </row>
    <row r="135" spans="1:7" ht="15.75">
      <c r="A135" s="187"/>
      <c r="B135" s="44" t="s">
        <v>218</v>
      </c>
      <c r="C135" s="189" t="s">
        <v>64</v>
      </c>
      <c r="D135" s="189" t="s">
        <v>137</v>
      </c>
      <c r="E135" s="189"/>
      <c r="F135" s="189"/>
      <c r="G135" s="190">
        <f aca="true" t="shared" si="0" ref="G135:G140">G136</f>
        <v>5247</v>
      </c>
    </row>
    <row r="136" spans="1:7" ht="31.5">
      <c r="A136" s="187"/>
      <c r="B136" s="44" t="s">
        <v>256</v>
      </c>
      <c r="C136" s="189" t="s">
        <v>64</v>
      </c>
      <c r="D136" s="189" t="s">
        <v>137</v>
      </c>
      <c r="E136" s="189" t="s">
        <v>102</v>
      </c>
      <c r="F136" s="189"/>
      <c r="G136" s="190">
        <f t="shared" si="0"/>
        <v>5247</v>
      </c>
    </row>
    <row r="137" spans="1:7" ht="31.5">
      <c r="A137" s="187"/>
      <c r="B137" s="44" t="s">
        <v>219</v>
      </c>
      <c r="C137" s="189" t="s">
        <v>64</v>
      </c>
      <c r="D137" s="189" t="s">
        <v>137</v>
      </c>
      <c r="E137" s="189" t="s">
        <v>211</v>
      </c>
      <c r="F137" s="189"/>
      <c r="G137" s="190">
        <f>G140+G138</f>
        <v>5247</v>
      </c>
    </row>
    <row r="138" spans="1:7" ht="47.25">
      <c r="A138" s="187"/>
      <c r="B138" s="60" t="s">
        <v>244</v>
      </c>
      <c r="C138" s="189" t="s">
        <v>64</v>
      </c>
      <c r="D138" s="189" t="s">
        <v>137</v>
      </c>
      <c r="E138" s="191" t="s">
        <v>245</v>
      </c>
      <c r="F138" s="189"/>
      <c r="G138" s="190">
        <f>G139</f>
        <v>160</v>
      </c>
    </row>
    <row r="139" spans="1:7" ht="15.75">
      <c r="A139" s="187"/>
      <c r="B139" s="44" t="s">
        <v>18</v>
      </c>
      <c r="C139" s="189" t="s">
        <v>64</v>
      </c>
      <c r="D139" s="189" t="s">
        <v>137</v>
      </c>
      <c r="E139" s="191" t="s">
        <v>245</v>
      </c>
      <c r="F139" s="189" t="s">
        <v>19</v>
      </c>
      <c r="G139" s="190">
        <f>'прил 4'!G112</f>
        <v>160</v>
      </c>
    </row>
    <row r="140" spans="1:7" ht="60.75" customHeight="1">
      <c r="A140" s="187"/>
      <c r="B140" s="60" t="s">
        <v>243</v>
      </c>
      <c r="C140" s="189" t="s">
        <v>64</v>
      </c>
      <c r="D140" s="189" t="s">
        <v>137</v>
      </c>
      <c r="E140" s="189" t="s">
        <v>297</v>
      </c>
      <c r="F140" s="189"/>
      <c r="G140" s="190">
        <f t="shared" si="0"/>
        <v>5087</v>
      </c>
    </row>
    <row r="141" spans="1:7" ht="15.75">
      <c r="A141" s="187"/>
      <c r="B141" s="44" t="s">
        <v>18</v>
      </c>
      <c r="C141" s="189" t="s">
        <v>64</v>
      </c>
      <c r="D141" s="189" t="s">
        <v>137</v>
      </c>
      <c r="E141" s="189" t="s">
        <v>297</v>
      </c>
      <c r="F141" s="189" t="s">
        <v>19</v>
      </c>
      <c r="G141" s="190">
        <f>'прил 4'!G114</f>
        <v>5087</v>
      </c>
    </row>
    <row r="142" spans="1:7" ht="15.75">
      <c r="A142" s="187"/>
      <c r="B142" s="44" t="s">
        <v>65</v>
      </c>
      <c r="C142" s="189" t="s">
        <v>64</v>
      </c>
      <c r="D142" s="189" t="s">
        <v>180</v>
      </c>
      <c r="E142" s="189"/>
      <c r="F142" s="189"/>
      <c r="G142" s="190">
        <f>G143+G151</f>
        <v>66621.075</v>
      </c>
    </row>
    <row r="143" spans="1:7" s="5" customFormat="1" ht="31.5">
      <c r="A143" s="187"/>
      <c r="B143" s="44" t="s">
        <v>191</v>
      </c>
      <c r="C143" s="189" t="s">
        <v>64</v>
      </c>
      <c r="D143" s="189" t="s">
        <v>180</v>
      </c>
      <c r="E143" s="191" t="s">
        <v>67</v>
      </c>
      <c r="F143" s="189"/>
      <c r="G143" s="190">
        <f>G144</f>
        <v>34366.13147</v>
      </c>
    </row>
    <row r="144" spans="1:7" s="5" customFormat="1" ht="12.75" customHeight="1">
      <c r="A144" s="187"/>
      <c r="B144" s="69" t="s">
        <v>126</v>
      </c>
      <c r="C144" s="189" t="s">
        <v>64</v>
      </c>
      <c r="D144" s="189" t="s">
        <v>180</v>
      </c>
      <c r="E144" s="191" t="s">
        <v>68</v>
      </c>
      <c r="F144" s="189"/>
      <c r="G144" s="190">
        <f>G145+G148</f>
        <v>34366.13147</v>
      </c>
    </row>
    <row r="145" spans="1:7" s="5" customFormat="1" ht="75" customHeight="1">
      <c r="A145" s="187"/>
      <c r="B145" s="60" t="s">
        <v>269</v>
      </c>
      <c r="C145" s="189" t="s">
        <v>64</v>
      </c>
      <c r="D145" s="189" t="s">
        <v>180</v>
      </c>
      <c r="E145" s="191" t="s">
        <v>268</v>
      </c>
      <c r="F145" s="189"/>
      <c r="G145" s="190">
        <f>G146+G147</f>
        <v>28000</v>
      </c>
    </row>
    <row r="146" spans="1:7" s="5" customFormat="1" ht="15.75">
      <c r="A146" s="187"/>
      <c r="B146" s="60" t="s">
        <v>18</v>
      </c>
      <c r="C146" s="189" t="s">
        <v>64</v>
      </c>
      <c r="D146" s="189" t="s">
        <v>180</v>
      </c>
      <c r="E146" s="191" t="s">
        <v>268</v>
      </c>
      <c r="F146" s="189" t="s">
        <v>19</v>
      </c>
      <c r="G146" s="190">
        <f>'прил 4'!G120</f>
        <v>23334.38489</v>
      </c>
    </row>
    <row r="147" spans="1:7" s="5" customFormat="1" ht="15.75">
      <c r="A147" s="187"/>
      <c r="B147" s="44" t="s">
        <v>20</v>
      </c>
      <c r="C147" s="189" t="s">
        <v>64</v>
      </c>
      <c r="D147" s="189" t="s">
        <v>180</v>
      </c>
      <c r="E147" s="191" t="s">
        <v>268</v>
      </c>
      <c r="F147" s="189" t="s">
        <v>21</v>
      </c>
      <c r="G147" s="190">
        <f>'прил 4'!G121</f>
        <v>4665.61511</v>
      </c>
    </row>
    <row r="148" spans="1:7" s="5" customFormat="1" ht="72" customHeight="1">
      <c r="A148" s="187"/>
      <c r="B148" s="69" t="s">
        <v>306</v>
      </c>
      <c r="C148" s="189" t="s">
        <v>64</v>
      </c>
      <c r="D148" s="189" t="s">
        <v>180</v>
      </c>
      <c r="E148" s="201" t="s">
        <v>298</v>
      </c>
      <c r="F148" s="189"/>
      <c r="G148" s="190">
        <f>G149+G150</f>
        <v>6366.13147</v>
      </c>
    </row>
    <row r="149" spans="1:7" s="5" customFormat="1" ht="15.75">
      <c r="A149" s="187"/>
      <c r="B149" s="44" t="s">
        <v>18</v>
      </c>
      <c r="C149" s="189" t="s">
        <v>64</v>
      </c>
      <c r="D149" s="189" t="s">
        <v>180</v>
      </c>
      <c r="E149" s="201" t="s">
        <v>298</v>
      </c>
      <c r="F149" s="189" t="s">
        <v>19</v>
      </c>
      <c r="G149" s="190">
        <f>'прил 4'!G123</f>
        <v>5109.16698</v>
      </c>
    </row>
    <row r="150" spans="1:7" s="5" customFormat="1" ht="15.75">
      <c r="A150" s="187"/>
      <c r="B150" s="44" t="s">
        <v>20</v>
      </c>
      <c r="C150" s="189" t="s">
        <v>64</v>
      </c>
      <c r="D150" s="189" t="s">
        <v>180</v>
      </c>
      <c r="E150" s="201" t="s">
        <v>298</v>
      </c>
      <c r="F150" s="189" t="s">
        <v>21</v>
      </c>
      <c r="G150" s="190">
        <f>'прил 4'!G125</f>
        <v>1256.9644899999998</v>
      </c>
    </row>
    <row r="151" spans="1:7" s="5" customFormat="1" ht="31.5">
      <c r="A151" s="187"/>
      <c r="B151" s="44" t="s">
        <v>261</v>
      </c>
      <c r="C151" s="189" t="s">
        <v>64</v>
      </c>
      <c r="D151" s="189" t="s">
        <v>180</v>
      </c>
      <c r="E151" s="191" t="s">
        <v>104</v>
      </c>
      <c r="F151" s="189"/>
      <c r="G151" s="190">
        <f>G152</f>
        <v>32254.943529999997</v>
      </c>
    </row>
    <row r="152" spans="1:7" s="5" customFormat="1" ht="47.25">
      <c r="A152" s="187"/>
      <c r="B152" s="69" t="s">
        <v>248</v>
      </c>
      <c r="C152" s="189" t="s">
        <v>64</v>
      </c>
      <c r="D152" s="189" t="s">
        <v>180</v>
      </c>
      <c r="E152" s="191" t="s">
        <v>105</v>
      </c>
      <c r="F152" s="189"/>
      <c r="G152" s="190">
        <f>G153+G156+G159+G161</f>
        <v>32254.943529999997</v>
      </c>
    </row>
    <row r="153" spans="1:7" s="5" customFormat="1" ht="63">
      <c r="A153" s="187"/>
      <c r="B153" s="69" t="s">
        <v>106</v>
      </c>
      <c r="C153" s="189" t="s">
        <v>64</v>
      </c>
      <c r="D153" s="189" t="s">
        <v>180</v>
      </c>
      <c r="E153" s="191" t="s">
        <v>270</v>
      </c>
      <c r="F153" s="189"/>
      <c r="G153" s="190">
        <f>G154+G155</f>
        <v>6000</v>
      </c>
    </row>
    <row r="154" spans="1:7" s="5" customFormat="1" ht="15.75">
      <c r="A154" s="187"/>
      <c r="B154" s="69" t="s">
        <v>18</v>
      </c>
      <c r="C154" s="189" t="s">
        <v>64</v>
      </c>
      <c r="D154" s="189" t="s">
        <v>180</v>
      </c>
      <c r="E154" s="191" t="s">
        <v>270</v>
      </c>
      <c r="F154" s="189" t="s">
        <v>19</v>
      </c>
      <c r="G154" s="190">
        <f>'прил 4'!G129</f>
        <v>1658.42895</v>
      </c>
    </row>
    <row r="155" spans="1:7" s="5" customFormat="1" ht="31.5">
      <c r="A155" s="187"/>
      <c r="B155" s="44" t="s">
        <v>61</v>
      </c>
      <c r="C155" s="189" t="s">
        <v>64</v>
      </c>
      <c r="D155" s="189" t="s">
        <v>180</v>
      </c>
      <c r="E155" s="191" t="s">
        <v>270</v>
      </c>
      <c r="F155" s="189" t="s">
        <v>62</v>
      </c>
      <c r="G155" s="190">
        <f>'прил 4'!G130</f>
        <v>4341.57105</v>
      </c>
    </row>
    <row r="156" spans="1:7" s="5" customFormat="1" ht="53.25" customHeight="1">
      <c r="A156" s="187"/>
      <c r="B156" s="69" t="s">
        <v>107</v>
      </c>
      <c r="C156" s="189" t="s">
        <v>64</v>
      </c>
      <c r="D156" s="189" t="s">
        <v>180</v>
      </c>
      <c r="E156" s="191" t="s">
        <v>299</v>
      </c>
      <c r="F156" s="189"/>
      <c r="G156" s="190">
        <f>G157+G158</f>
        <v>2239.13353</v>
      </c>
    </row>
    <row r="157" spans="1:7" s="5" customFormat="1" ht="15.75">
      <c r="A157" s="187"/>
      <c r="B157" s="69" t="s">
        <v>18</v>
      </c>
      <c r="C157" s="189" t="s">
        <v>64</v>
      </c>
      <c r="D157" s="189" t="s">
        <v>180</v>
      </c>
      <c r="E157" s="191" t="s">
        <v>299</v>
      </c>
      <c r="F157" s="189" t="s">
        <v>19</v>
      </c>
      <c r="G157" s="190">
        <f>'прил 4'!G132</f>
        <v>1531.13507</v>
      </c>
    </row>
    <row r="158" spans="1:7" s="5" customFormat="1" ht="31.5">
      <c r="A158" s="187"/>
      <c r="B158" s="44" t="s">
        <v>61</v>
      </c>
      <c r="C158" s="189" t="s">
        <v>64</v>
      </c>
      <c r="D158" s="189" t="s">
        <v>180</v>
      </c>
      <c r="E158" s="191" t="s">
        <v>299</v>
      </c>
      <c r="F158" s="189" t="s">
        <v>62</v>
      </c>
      <c r="G158" s="190">
        <f>'прил 4'!G134</f>
        <v>707.99846</v>
      </c>
    </row>
    <row r="159" spans="1:7" s="5" customFormat="1" ht="47.25">
      <c r="A159" s="187"/>
      <c r="B159" s="44" t="s">
        <v>421</v>
      </c>
      <c r="C159" s="189" t="s">
        <v>64</v>
      </c>
      <c r="D159" s="189" t="s">
        <v>180</v>
      </c>
      <c r="E159" s="81" t="s">
        <v>418</v>
      </c>
      <c r="F159" s="189"/>
      <c r="G159" s="190">
        <f>G160</f>
        <v>21614.229</v>
      </c>
    </row>
    <row r="160" spans="1:7" s="5" customFormat="1" ht="15.75">
      <c r="A160" s="187"/>
      <c r="B160" s="44" t="s">
        <v>18</v>
      </c>
      <c r="C160" s="189" t="s">
        <v>64</v>
      </c>
      <c r="D160" s="189" t="s">
        <v>180</v>
      </c>
      <c r="E160" s="81" t="s">
        <v>418</v>
      </c>
      <c r="F160" s="189" t="s">
        <v>19</v>
      </c>
      <c r="G160" s="190">
        <f>'прил 4'!G137</f>
        <v>21614.229</v>
      </c>
    </row>
    <row r="161" spans="1:7" s="5" customFormat="1" ht="63">
      <c r="A161" s="187"/>
      <c r="B161" s="60" t="s">
        <v>422</v>
      </c>
      <c r="C161" s="189" t="s">
        <v>64</v>
      </c>
      <c r="D161" s="189" t="s">
        <v>180</v>
      </c>
      <c r="E161" s="81" t="s">
        <v>420</v>
      </c>
      <c r="F161" s="189"/>
      <c r="G161" s="190">
        <f>G162</f>
        <v>2401.581</v>
      </c>
    </row>
    <row r="162" spans="1:7" s="5" customFormat="1" ht="15.75">
      <c r="A162" s="187"/>
      <c r="B162" s="44" t="s">
        <v>18</v>
      </c>
      <c r="C162" s="189" t="s">
        <v>64</v>
      </c>
      <c r="D162" s="189" t="s">
        <v>180</v>
      </c>
      <c r="E162" s="81" t="s">
        <v>420</v>
      </c>
      <c r="F162" s="189" t="s">
        <v>19</v>
      </c>
      <c r="G162" s="190">
        <f>'прил 4'!G139</f>
        <v>2401.581</v>
      </c>
    </row>
    <row r="163" spans="1:7" ht="15.75">
      <c r="A163" s="187"/>
      <c r="B163" s="44" t="s">
        <v>221</v>
      </c>
      <c r="C163" s="189" t="s">
        <v>64</v>
      </c>
      <c r="D163" s="189" t="s">
        <v>239</v>
      </c>
      <c r="E163" s="191"/>
      <c r="F163" s="189"/>
      <c r="G163" s="190">
        <f>G164</f>
        <v>3100</v>
      </c>
    </row>
    <row r="164" spans="1:7" ht="47.25">
      <c r="A164" s="187"/>
      <c r="B164" s="69" t="s">
        <v>240</v>
      </c>
      <c r="C164" s="189" t="s">
        <v>64</v>
      </c>
      <c r="D164" s="189" t="s">
        <v>239</v>
      </c>
      <c r="E164" s="191" t="s">
        <v>79</v>
      </c>
      <c r="F164" s="189"/>
      <c r="G164" s="190">
        <f>G165</f>
        <v>3100</v>
      </c>
    </row>
    <row r="165" spans="1:7" ht="31.5">
      <c r="A165" s="187"/>
      <c r="B165" s="69" t="s">
        <v>223</v>
      </c>
      <c r="C165" s="189" t="s">
        <v>64</v>
      </c>
      <c r="D165" s="189" t="s">
        <v>239</v>
      </c>
      <c r="E165" s="191" t="s">
        <v>80</v>
      </c>
      <c r="F165" s="189"/>
      <c r="G165" s="190">
        <f>G166+G168</f>
        <v>3100</v>
      </c>
    </row>
    <row r="166" spans="1:7" ht="63">
      <c r="A166" s="187"/>
      <c r="B166" s="60" t="s">
        <v>225</v>
      </c>
      <c r="C166" s="189" t="s">
        <v>64</v>
      </c>
      <c r="D166" s="189" t="s">
        <v>239</v>
      </c>
      <c r="E166" s="191" t="s">
        <v>226</v>
      </c>
      <c r="F166" s="189"/>
      <c r="G166" s="190">
        <f>G167</f>
        <v>3038</v>
      </c>
    </row>
    <row r="167" spans="1:7" ht="15.75">
      <c r="A167" s="187"/>
      <c r="B167" s="44" t="s">
        <v>18</v>
      </c>
      <c r="C167" s="189" t="s">
        <v>64</v>
      </c>
      <c r="D167" s="189" t="s">
        <v>239</v>
      </c>
      <c r="E167" s="191" t="s">
        <v>226</v>
      </c>
      <c r="F167" s="189" t="s">
        <v>19</v>
      </c>
      <c r="G167" s="190">
        <f>'прил 4'!G144</f>
        <v>3038</v>
      </c>
    </row>
    <row r="168" spans="1:7" ht="58.5" customHeight="1">
      <c r="A168" s="187"/>
      <c r="B168" s="60" t="s">
        <v>246</v>
      </c>
      <c r="C168" s="189" t="s">
        <v>64</v>
      </c>
      <c r="D168" s="189" t="s">
        <v>239</v>
      </c>
      <c r="E168" s="191" t="s">
        <v>300</v>
      </c>
      <c r="F168" s="189"/>
      <c r="G168" s="190">
        <f>G169</f>
        <v>62</v>
      </c>
    </row>
    <row r="169" spans="1:7" ht="15.75">
      <c r="A169" s="187"/>
      <c r="B169" s="60" t="s">
        <v>18</v>
      </c>
      <c r="C169" s="189" t="s">
        <v>64</v>
      </c>
      <c r="D169" s="189" t="s">
        <v>239</v>
      </c>
      <c r="E169" s="191" t="s">
        <v>300</v>
      </c>
      <c r="F169" s="189" t="s">
        <v>19</v>
      </c>
      <c r="G169" s="190">
        <f>'прил 4'!G146</f>
        <v>62</v>
      </c>
    </row>
    <row r="170" spans="1:7" s="4" customFormat="1" ht="15.75">
      <c r="A170" s="183">
        <v>4</v>
      </c>
      <c r="B170" s="184" t="s">
        <v>69</v>
      </c>
      <c r="C170" s="185" t="s">
        <v>70</v>
      </c>
      <c r="D170" s="185"/>
      <c r="E170" s="185"/>
      <c r="F170" s="185"/>
      <c r="G170" s="186">
        <f>G171+G198+G210+G249</f>
        <v>776755.56456</v>
      </c>
    </row>
    <row r="171" spans="1:7" ht="15.75">
      <c r="A171" s="187"/>
      <c r="B171" s="188" t="s">
        <v>71</v>
      </c>
      <c r="C171" s="189" t="s">
        <v>70</v>
      </c>
      <c r="D171" s="189" t="s">
        <v>8</v>
      </c>
      <c r="E171" s="189"/>
      <c r="F171" s="189"/>
      <c r="G171" s="190">
        <f>G176+G179+G172+G194</f>
        <v>84868.68068</v>
      </c>
    </row>
    <row r="172" spans="1:7" ht="31.5">
      <c r="A172" s="187"/>
      <c r="B172" s="44" t="s">
        <v>260</v>
      </c>
      <c r="C172" s="189" t="s">
        <v>70</v>
      </c>
      <c r="D172" s="189" t="s">
        <v>8</v>
      </c>
      <c r="E172" s="191" t="s">
        <v>112</v>
      </c>
      <c r="F172" s="197"/>
      <c r="G172" s="190">
        <f>G173</f>
        <v>6323.703569999999</v>
      </c>
    </row>
    <row r="173" spans="1:7" ht="63">
      <c r="A173" s="187"/>
      <c r="B173" s="73" t="s">
        <v>184</v>
      </c>
      <c r="C173" s="189" t="s">
        <v>70</v>
      </c>
      <c r="D173" s="189" t="s">
        <v>8</v>
      </c>
      <c r="E173" s="191" t="s">
        <v>121</v>
      </c>
      <c r="F173" s="197"/>
      <c r="G173" s="190">
        <f>G174+G175</f>
        <v>6323.703569999999</v>
      </c>
    </row>
    <row r="174" spans="1:7" ht="15.75">
      <c r="A174" s="187"/>
      <c r="B174" s="44" t="s">
        <v>18</v>
      </c>
      <c r="C174" s="189" t="s">
        <v>70</v>
      </c>
      <c r="D174" s="189" t="s">
        <v>8</v>
      </c>
      <c r="E174" s="191" t="s">
        <v>121</v>
      </c>
      <c r="F174" s="197" t="s">
        <v>19</v>
      </c>
      <c r="G174" s="190">
        <f>'прил 4'!G301</f>
        <v>6311.702949999999</v>
      </c>
    </row>
    <row r="175" spans="1:7" ht="15.75">
      <c r="A175" s="187"/>
      <c r="B175" s="44" t="s">
        <v>20</v>
      </c>
      <c r="C175" s="189" t="s">
        <v>70</v>
      </c>
      <c r="D175" s="189" t="s">
        <v>8</v>
      </c>
      <c r="E175" s="191" t="s">
        <v>121</v>
      </c>
      <c r="F175" s="197" t="s">
        <v>21</v>
      </c>
      <c r="G175" s="190">
        <f>'прил 4'!G303</f>
        <v>12.00062</v>
      </c>
    </row>
    <row r="176" spans="1:7" ht="31.5">
      <c r="A176" s="187"/>
      <c r="B176" s="44" t="s">
        <v>231</v>
      </c>
      <c r="C176" s="189" t="s">
        <v>70</v>
      </c>
      <c r="D176" s="189" t="s">
        <v>8</v>
      </c>
      <c r="E176" s="191" t="s">
        <v>73</v>
      </c>
      <c r="F176" s="189"/>
      <c r="G176" s="190">
        <f>G177</f>
        <v>1109.812</v>
      </c>
    </row>
    <row r="177" spans="1:7" ht="55.5" customHeight="1">
      <c r="A177" s="187"/>
      <c r="B177" s="60" t="s">
        <v>74</v>
      </c>
      <c r="C177" s="189" t="s">
        <v>70</v>
      </c>
      <c r="D177" s="189" t="s">
        <v>8</v>
      </c>
      <c r="E177" s="191" t="s">
        <v>75</v>
      </c>
      <c r="F177" s="189"/>
      <c r="G177" s="190">
        <f>G178</f>
        <v>1109.812</v>
      </c>
    </row>
    <row r="178" spans="1:7" ht="15.75">
      <c r="A178" s="187"/>
      <c r="B178" s="44" t="s">
        <v>18</v>
      </c>
      <c r="C178" s="189" t="s">
        <v>70</v>
      </c>
      <c r="D178" s="189" t="s">
        <v>8</v>
      </c>
      <c r="E178" s="191" t="s">
        <v>75</v>
      </c>
      <c r="F178" s="189" t="s">
        <v>19</v>
      </c>
      <c r="G178" s="190">
        <f>'прил 4'!G151</f>
        <v>1109.812</v>
      </c>
    </row>
    <row r="179" spans="1:7" ht="31.5">
      <c r="A179" s="187"/>
      <c r="B179" s="60" t="s">
        <v>185</v>
      </c>
      <c r="C179" s="189" t="s">
        <v>70</v>
      </c>
      <c r="D179" s="189" t="s">
        <v>8</v>
      </c>
      <c r="E179" s="191" t="s">
        <v>117</v>
      </c>
      <c r="F179" s="189"/>
      <c r="G179" s="190">
        <f>G183+G180</f>
        <v>76983.05911</v>
      </c>
    </row>
    <row r="180" spans="1:7" ht="31.5">
      <c r="A180" s="187"/>
      <c r="B180" s="60" t="s">
        <v>415</v>
      </c>
      <c r="C180" s="189" t="s">
        <v>70</v>
      </c>
      <c r="D180" s="189" t="s">
        <v>8</v>
      </c>
      <c r="E180" s="191" t="s">
        <v>405</v>
      </c>
      <c r="F180" s="189"/>
      <c r="G180" s="190">
        <f>G181</f>
        <v>150</v>
      </c>
    </row>
    <row r="181" spans="1:7" ht="78.75">
      <c r="A181" s="187"/>
      <c r="B181" s="60" t="s">
        <v>428</v>
      </c>
      <c r="C181" s="189" t="s">
        <v>70</v>
      </c>
      <c r="D181" s="189" t="s">
        <v>8</v>
      </c>
      <c r="E181" s="191" t="s">
        <v>407</v>
      </c>
      <c r="F181" s="189"/>
      <c r="G181" s="190">
        <f>G182</f>
        <v>150</v>
      </c>
    </row>
    <row r="182" spans="1:7" ht="15.75">
      <c r="A182" s="187"/>
      <c r="B182" s="60" t="s">
        <v>18</v>
      </c>
      <c r="C182" s="189" t="s">
        <v>70</v>
      </c>
      <c r="D182" s="189" t="s">
        <v>8</v>
      </c>
      <c r="E182" s="191" t="s">
        <v>407</v>
      </c>
      <c r="F182" s="189" t="s">
        <v>19</v>
      </c>
      <c r="G182" s="190">
        <f>'прил 4'!G307</f>
        <v>150</v>
      </c>
    </row>
    <row r="183" spans="1:7" ht="31.5">
      <c r="A183" s="187"/>
      <c r="B183" s="60" t="s">
        <v>186</v>
      </c>
      <c r="C183" s="189" t="s">
        <v>70</v>
      </c>
      <c r="D183" s="189" t="s">
        <v>8</v>
      </c>
      <c r="E183" s="191" t="s">
        <v>187</v>
      </c>
      <c r="F183" s="189"/>
      <c r="G183" s="190">
        <f>G186+G188+G192+G190+G184</f>
        <v>76833.05911</v>
      </c>
    </row>
    <row r="184" spans="1:7" ht="94.5">
      <c r="A184" s="187"/>
      <c r="B184" s="60" t="s">
        <v>429</v>
      </c>
      <c r="C184" s="189" t="s">
        <v>70</v>
      </c>
      <c r="D184" s="189" t="s">
        <v>8</v>
      </c>
      <c r="E184" s="191" t="s">
        <v>408</v>
      </c>
      <c r="F184" s="189"/>
      <c r="G184" s="190">
        <f>G185</f>
        <v>5500</v>
      </c>
    </row>
    <row r="185" spans="1:7" ht="15.75">
      <c r="A185" s="187"/>
      <c r="B185" s="60" t="s">
        <v>349</v>
      </c>
      <c r="C185" s="189" t="s">
        <v>70</v>
      </c>
      <c r="D185" s="189" t="s">
        <v>8</v>
      </c>
      <c r="E185" s="191" t="s">
        <v>408</v>
      </c>
      <c r="F185" s="189" t="s">
        <v>350</v>
      </c>
      <c r="G185" s="190">
        <f>'прил 4'!G310</f>
        <v>5500</v>
      </c>
    </row>
    <row r="186" spans="1:7" ht="44.25" customHeight="1">
      <c r="A186" s="187"/>
      <c r="B186" s="60" t="s">
        <v>286</v>
      </c>
      <c r="C186" s="191" t="s">
        <v>70</v>
      </c>
      <c r="D186" s="191" t="s">
        <v>8</v>
      </c>
      <c r="E186" s="191" t="s">
        <v>285</v>
      </c>
      <c r="F186" s="189"/>
      <c r="G186" s="190">
        <f>'прил 4'!G155</f>
        <v>5232.0095</v>
      </c>
    </row>
    <row r="187" spans="1:7" ht="15.75">
      <c r="A187" s="187"/>
      <c r="B187" s="69" t="s">
        <v>18</v>
      </c>
      <c r="C187" s="191" t="s">
        <v>70</v>
      </c>
      <c r="D187" s="191" t="s">
        <v>8</v>
      </c>
      <c r="E187" s="191" t="s">
        <v>285</v>
      </c>
      <c r="F187" s="189" t="s">
        <v>19</v>
      </c>
      <c r="G187" s="190">
        <f>'прил 4'!G155</f>
        <v>5232.0095</v>
      </c>
    </row>
    <row r="188" spans="1:7" ht="78.75">
      <c r="A188" s="187"/>
      <c r="B188" s="73" t="s">
        <v>347</v>
      </c>
      <c r="C188" s="191" t="s">
        <v>70</v>
      </c>
      <c r="D188" s="191" t="s">
        <v>8</v>
      </c>
      <c r="E188" s="191" t="s">
        <v>348</v>
      </c>
      <c r="F188" s="197"/>
      <c r="G188" s="190">
        <f>G189</f>
        <v>56725.25108</v>
      </c>
    </row>
    <row r="189" spans="1:7" ht="15.75">
      <c r="A189" s="187"/>
      <c r="B189" s="44" t="s">
        <v>349</v>
      </c>
      <c r="C189" s="191" t="s">
        <v>70</v>
      </c>
      <c r="D189" s="191" t="s">
        <v>8</v>
      </c>
      <c r="E189" s="191" t="s">
        <v>348</v>
      </c>
      <c r="F189" s="197" t="s">
        <v>350</v>
      </c>
      <c r="G189" s="190">
        <f>'прил 4'!G312</f>
        <v>56725.25108</v>
      </c>
    </row>
    <row r="190" spans="1:7" ht="78.75">
      <c r="A190" s="187"/>
      <c r="B190" s="73" t="s">
        <v>347</v>
      </c>
      <c r="C190" s="191" t="s">
        <v>70</v>
      </c>
      <c r="D190" s="191" t="s">
        <v>8</v>
      </c>
      <c r="E190" s="191" t="s">
        <v>348</v>
      </c>
      <c r="F190" s="197"/>
      <c r="G190" s="190">
        <f>G191</f>
        <v>9267.064139999999</v>
      </c>
    </row>
    <row r="191" spans="1:7" ht="15.75">
      <c r="A191" s="187"/>
      <c r="B191" s="44" t="s">
        <v>349</v>
      </c>
      <c r="C191" s="191" t="s">
        <v>70</v>
      </c>
      <c r="D191" s="191" t="s">
        <v>8</v>
      </c>
      <c r="E191" s="191" t="s">
        <v>348</v>
      </c>
      <c r="F191" s="197" t="s">
        <v>350</v>
      </c>
      <c r="G191" s="190">
        <f>'прил 4'!G314</f>
        <v>9267.064139999999</v>
      </c>
    </row>
    <row r="192" spans="1:7" ht="78.75">
      <c r="A192" s="187"/>
      <c r="B192" s="73" t="s">
        <v>353</v>
      </c>
      <c r="C192" s="191" t="s">
        <v>70</v>
      </c>
      <c r="D192" s="191" t="s">
        <v>8</v>
      </c>
      <c r="E192" s="191" t="s">
        <v>354</v>
      </c>
      <c r="F192" s="197"/>
      <c r="G192" s="190">
        <f>G193</f>
        <v>108.73439</v>
      </c>
    </row>
    <row r="193" spans="1:7" ht="15.75">
      <c r="A193" s="187"/>
      <c r="B193" s="44" t="s">
        <v>349</v>
      </c>
      <c r="C193" s="191" t="s">
        <v>70</v>
      </c>
      <c r="D193" s="191" t="s">
        <v>8</v>
      </c>
      <c r="E193" s="191" t="s">
        <v>354</v>
      </c>
      <c r="F193" s="197" t="s">
        <v>350</v>
      </c>
      <c r="G193" s="190">
        <f>'прил 4'!G317</f>
        <v>108.73439</v>
      </c>
    </row>
    <row r="194" spans="1:7" ht="31.5">
      <c r="A194" s="187"/>
      <c r="B194" s="60" t="s">
        <v>394</v>
      </c>
      <c r="C194" s="191" t="s">
        <v>70</v>
      </c>
      <c r="D194" s="191" t="s">
        <v>8</v>
      </c>
      <c r="E194" s="191" t="s">
        <v>395</v>
      </c>
      <c r="F194" s="197"/>
      <c r="G194" s="190">
        <f>G195</f>
        <v>452.106</v>
      </c>
    </row>
    <row r="195" spans="1:7" ht="31.5">
      <c r="A195" s="187"/>
      <c r="B195" s="60" t="s">
        <v>396</v>
      </c>
      <c r="C195" s="191" t="s">
        <v>70</v>
      </c>
      <c r="D195" s="191" t="s">
        <v>8</v>
      </c>
      <c r="E195" s="191" t="s">
        <v>397</v>
      </c>
      <c r="F195" s="197"/>
      <c r="G195" s="190">
        <f>G196</f>
        <v>452.106</v>
      </c>
    </row>
    <row r="196" spans="1:7" ht="78.75">
      <c r="A196" s="187"/>
      <c r="B196" s="60" t="s">
        <v>398</v>
      </c>
      <c r="C196" s="191" t="s">
        <v>70</v>
      </c>
      <c r="D196" s="191" t="s">
        <v>8</v>
      </c>
      <c r="E196" s="191" t="s">
        <v>399</v>
      </c>
      <c r="F196" s="197"/>
      <c r="G196" s="190">
        <f>G197</f>
        <v>452.106</v>
      </c>
    </row>
    <row r="197" spans="1:7" ht="15.75">
      <c r="A197" s="187"/>
      <c r="B197" s="44" t="s">
        <v>18</v>
      </c>
      <c r="C197" s="191" t="s">
        <v>70</v>
      </c>
      <c r="D197" s="191" t="s">
        <v>8</v>
      </c>
      <c r="E197" s="191" t="s">
        <v>399</v>
      </c>
      <c r="F197" s="197" t="s">
        <v>19</v>
      </c>
      <c r="G197" s="190">
        <f>'прил 4'!G159</f>
        <v>452.106</v>
      </c>
    </row>
    <row r="198" spans="1:7" ht="15.75">
      <c r="A198" s="187"/>
      <c r="B198" s="44" t="s">
        <v>76</v>
      </c>
      <c r="C198" s="189" t="s">
        <v>70</v>
      </c>
      <c r="D198" s="189" t="s">
        <v>176</v>
      </c>
      <c r="E198" s="189"/>
      <c r="F198" s="189"/>
      <c r="G198" s="190">
        <f>G199+G205</f>
        <v>264982.3484</v>
      </c>
    </row>
    <row r="199" spans="1:7" ht="47.25">
      <c r="A199" s="187"/>
      <c r="B199" s="44" t="s">
        <v>224</v>
      </c>
      <c r="C199" s="189" t="s">
        <v>70</v>
      </c>
      <c r="D199" s="189" t="s">
        <v>176</v>
      </c>
      <c r="E199" s="191" t="s">
        <v>79</v>
      </c>
      <c r="F199" s="189"/>
      <c r="G199" s="190">
        <f>G200</f>
        <v>252591.1444</v>
      </c>
    </row>
    <row r="200" spans="1:7" ht="31.5">
      <c r="A200" s="187"/>
      <c r="B200" s="69" t="s">
        <v>223</v>
      </c>
      <c r="C200" s="189" t="s">
        <v>70</v>
      </c>
      <c r="D200" s="189" t="s">
        <v>176</v>
      </c>
      <c r="E200" s="191" t="s">
        <v>80</v>
      </c>
      <c r="F200" s="189"/>
      <c r="G200" s="190">
        <f>G201+G203</f>
        <v>252591.1444</v>
      </c>
    </row>
    <row r="201" spans="1:7" ht="78.75">
      <c r="A201" s="187"/>
      <c r="B201" s="60" t="s">
        <v>81</v>
      </c>
      <c r="C201" s="191" t="s">
        <v>70</v>
      </c>
      <c r="D201" s="191" t="s">
        <v>176</v>
      </c>
      <c r="E201" s="191" t="s">
        <v>82</v>
      </c>
      <c r="F201" s="189"/>
      <c r="G201" s="190">
        <f>G202</f>
        <v>500</v>
      </c>
    </row>
    <row r="202" spans="1:7" ht="15.75">
      <c r="A202" s="187"/>
      <c r="B202" s="69" t="s">
        <v>18</v>
      </c>
      <c r="C202" s="191" t="s">
        <v>70</v>
      </c>
      <c r="D202" s="191" t="s">
        <v>176</v>
      </c>
      <c r="E202" s="191" t="s">
        <v>82</v>
      </c>
      <c r="F202" s="189" t="s">
        <v>19</v>
      </c>
      <c r="G202" s="190">
        <f>'прил 4'!G164</f>
        <v>500</v>
      </c>
    </row>
    <row r="203" spans="1:7" ht="47.25">
      <c r="A203" s="187"/>
      <c r="B203" s="60" t="s">
        <v>375</v>
      </c>
      <c r="C203" s="191" t="s">
        <v>70</v>
      </c>
      <c r="D203" s="191" t="s">
        <v>176</v>
      </c>
      <c r="E203" s="191" t="s">
        <v>376</v>
      </c>
      <c r="F203" s="189"/>
      <c r="G203" s="190">
        <f>G204</f>
        <v>252091.1444</v>
      </c>
    </row>
    <row r="204" spans="1:7" ht="15.75">
      <c r="A204" s="187"/>
      <c r="B204" s="44" t="s">
        <v>349</v>
      </c>
      <c r="C204" s="191" t="s">
        <v>70</v>
      </c>
      <c r="D204" s="191" t="s">
        <v>176</v>
      </c>
      <c r="E204" s="191" t="s">
        <v>376</v>
      </c>
      <c r="F204" s="189" t="s">
        <v>350</v>
      </c>
      <c r="G204" s="190">
        <f>'прил 4'!G322</f>
        <v>252091.1444</v>
      </c>
    </row>
    <row r="205" spans="1:7" ht="15.75">
      <c r="A205" s="187"/>
      <c r="B205" s="44" t="s">
        <v>78</v>
      </c>
      <c r="C205" s="189" t="s">
        <v>70</v>
      </c>
      <c r="D205" s="189" t="s">
        <v>176</v>
      </c>
      <c r="E205" s="191" t="s">
        <v>10</v>
      </c>
      <c r="F205" s="189"/>
      <c r="G205" s="190">
        <f>G206+G208</f>
        <v>12391.204</v>
      </c>
    </row>
    <row r="206" spans="1:9" ht="47.25">
      <c r="A206" s="187"/>
      <c r="B206" s="44" t="s">
        <v>108</v>
      </c>
      <c r="C206" s="189" t="s">
        <v>70</v>
      </c>
      <c r="D206" s="189" t="s">
        <v>176</v>
      </c>
      <c r="E206" s="191" t="s">
        <v>109</v>
      </c>
      <c r="F206" s="189"/>
      <c r="G206" s="190">
        <f>G207</f>
        <v>11476.204</v>
      </c>
      <c r="H206" s="5"/>
      <c r="I206" s="5"/>
    </row>
    <row r="207" spans="1:9" ht="15.75">
      <c r="A207" s="187"/>
      <c r="B207" s="44" t="s">
        <v>20</v>
      </c>
      <c r="C207" s="189" t="s">
        <v>70</v>
      </c>
      <c r="D207" s="189" t="s">
        <v>176</v>
      </c>
      <c r="E207" s="191" t="s">
        <v>109</v>
      </c>
      <c r="F207" s="189" t="s">
        <v>21</v>
      </c>
      <c r="G207" s="190">
        <f>'прил 4'!G168</f>
        <v>11476.204</v>
      </c>
      <c r="H207" s="5"/>
      <c r="I207" s="5"/>
    </row>
    <row r="208" spans="1:9" ht="30.75" customHeight="1">
      <c r="A208" s="187"/>
      <c r="B208" s="48" t="s">
        <v>232</v>
      </c>
      <c r="C208" s="189" t="s">
        <v>70</v>
      </c>
      <c r="D208" s="189" t="s">
        <v>176</v>
      </c>
      <c r="E208" s="191" t="s">
        <v>233</v>
      </c>
      <c r="F208" s="189"/>
      <c r="G208" s="190">
        <f>G209</f>
        <v>915</v>
      </c>
      <c r="H208" s="5"/>
      <c r="I208" s="5"/>
    </row>
    <row r="209" spans="1:9" ht="15.75">
      <c r="A209" s="187"/>
      <c r="B209" s="44" t="s">
        <v>20</v>
      </c>
      <c r="C209" s="189" t="s">
        <v>70</v>
      </c>
      <c r="D209" s="189" t="s">
        <v>176</v>
      </c>
      <c r="E209" s="191" t="s">
        <v>233</v>
      </c>
      <c r="F209" s="189" t="s">
        <v>21</v>
      </c>
      <c r="G209" s="190">
        <f>'прил 4'!G170</f>
        <v>915</v>
      </c>
      <c r="H209" s="5"/>
      <c r="I209" s="5"/>
    </row>
    <row r="210" spans="1:9" ht="15.75">
      <c r="A210" s="187"/>
      <c r="B210" s="44" t="s">
        <v>83</v>
      </c>
      <c r="C210" s="189" t="s">
        <v>70</v>
      </c>
      <c r="D210" s="189" t="s">
        <v>154</v>
      </c>
      <c r="E210" s="189"/>
      <c r="F210" s="189"/>
      <c r="G210" s="190">
        <f>G211+G229+G234</f>
        <v>370520.8083</v>
      </c>
      <c r="H210" s="5"/>
      <c r="I210" s="5"/>
    </row>
    <row r="211" spans="1:9" ht="31.5">
      <c r="A211" s="187"/>
      <c r="B211" s="44" t="s">
        <v>191</v>
      </c>
      <c r="C211" s="189" t="s">
        <v>70</v>
      </c>
      <c r="D211" s="198" t="s">
        <v>154</v>
      </c>
      <c r="E211" s="191" t="s">
        <v>67</v>
      </c>
      <c r="F211" s="189"/>
      <c r="G211" s="190">
        <f>G212+G222</f>
        <v>236419.20080999998</v>
      </c>
      <c r="H211" s="5"/>
      <c r="I211" s="5"/>
    </row>
    <row r="212" spans="1:7" ht="15.75">
      <c r="A212" s="187"/>
      <c r="B212" s="44" t="s">
        <v>85</v>
      </c>
      <c r="C212" s="189" t="s">
        <v>70</v>
      </c>
      <c r="D212" s="198" t="s">
        <v>154</v>
      </c>
      <c r="E212" s="191" t="s">
        <v>86</v>
      </c>
      <c r="F212" s="189"/>
      <c r="G212" s="190">
        <f>G219+G215+G213+G217</f>
        <v>155205.9024</v>
      </c>
    </row>
    <row r="213" spans="1:7" ht="69" customHeight="1">
      <c r="A213" s="187"/>
      <c r="B213" s="60" t="s">
        <v>335</v>
      </c>
      <c r="C213" s="189" t="s">
        <v>70</v>
      </c>
      <c r="D213" s="198" t="s">
        <v>154</v>
      </c>
      <c r="E213" s="191" t="s">
        <v>334</v>
      </c>
      <c r="F213" s="197"/>
      <c r="G213" s="190">
        <f>G214</f>
        <v>14567.409439999996</v>
      </c>
    </row>
    <row r="214" spans="1:7" ht="15.75">
      <c r="A214" s="187"/>
      <c r="B214" s="44" t="s">
        <v>18</v>
      </c>
      <c r="C214" s="189" t="s">
        <v>70</v>
      </c>
      <c r="D214" s="198" t="s">
        <v>154</v>
      </c>
      <c r="E214" s="191" t="s">
        <v>334</v>
      </c>
      <c r="F214" s="197" t="s">
        <v>19</v>
      </c>
      <c r="G214" s="190">
        <f>'прил 4'!G175+'прил 4'!G380</f>
        <v>14567.409439999996</v>
      </c>
    </row>
    <row r="215" spans="1:7" ht="45.75" customHeight="1">
      <c r="A215" s="187"/>
      <c r="B215" s="60" t="s">
        <v>328</v>
      </c>
      <c r="C215" s="189" t="s">
        <v>70</v>
      </c>
      <c r="D215" s="198" t="s">
        <v>154</v>
      </c>
      <c r="E215" s="191" t="s">
        <v>327</v>
      </c>
      <c r="F215" s="197"/>
      <c r="G215" s="190">
        <f>G216</f>
        <v>100000</v>
      </c>
    </row>
    <row r="216" spans="1:7" ht="24" customHeight="1">
      <c r="A216" s="187"/>
      <c r="B216" s="44" t="s">
        <v>18</v>
      </c>
      <c r="C216" s="189" t="s">
        <v>70</v>
      </c>
      <c r="D216" s="198" t="s">
        <v>154</v>
      </c>
      <c r="E216" s="191" t="s">
        <v>327</v>
      </c>
      <c r="F216" s="189" t="s">
        <v>19</v>
      </c>
      <c r="G216" s="190">
        <f>'прил 4'!G178</f>
        <v>100000</v>
      </c>
    </row>
    <row r="217" spans="1:7" ht="47.25">
      <c r="A217" s="187"/>
      <c r="B217" s="60" t="s">
        <v>431</v>
      </c>
      <c r="C217" s="189" t="s">
        <v>70</v>
      </c>
      <c r="D217" s="198" t="s">
        <v>154</v>
      </c>
      <c r="E217" s="191" t="s">
        <v>423</v>
      </c>
      <c r="F217" s="189"/>
      <c r="G217" s="190">
        <f>G218</f>
        <v>30000</v>
      </c>
    </row>
    <row r="218" spans="1:7" ht="24" customHeight="1">
      <c r="A218" s="187"/>
      <c r="B218" s="44" t="s">
        <v>18</v>
      </c>
      <c r="C218" s="189" t="s">
        <v>70</v>
      </c>
      <c r="D218" s="198" t="s">
        <v>154</v>
      </c>
      <c r="E218" s="191" t="s">
        <v>423</v>
      </c>
      <c r="F218" s="189" t="s">
        <v>19</v>
      </c>
      <c r="G218" s="190">
        <f>'прил 4'!G182</f>
        <v>30000</v>
      </c>
    </row>
    <row r="219" spans="1:7" ht="31.5">
      <c r="A219" s="187"/>
      <c r="B219" s="60" t="s">
        <v>324</v>
      </c>
      <c r="C219" s="189" t="s">
        <v>70</v>
      </c>
      <c r="D219" s="198" t="s">
        <v>154</v>
      </c>
      <c r="E219" s="191" t="s">
        <v>294</v>
      </c>
      <c r="F219" s="189"/>
      <c r="G219" s="190">
        <f>G221+G220</f>
        <v>10638.49296</v>
      </c>
    </row>
    <row r="220" spans="1:7" ht="15.75">
      <c r="A220" s="187"/>
      <c r="B220" s="44" t="s">
        <v>18</v>
      </c>
      <c r="C220" s="189" t="s">
        <v>70</v>
      </c>
      <c r="D220" s="189" t="s">
        <v>154</v>
      </c>
      <c r="E220" s="191" t="s">
        <v>294</v>
      </c>
      <c r="F220" s="189" t="s">
        <v>19</v>
      </c>
      <c r="G220" s="190">
        <f>'прил 4'!G185</f>
        <v>6197.134959999999</v>
      </c>
    </row>
    <row r="221" spans="1:7" ht="15.75">
      <c r="A221" s="187"/>
      <c r="B221" s="44" t="s">
        <v>20</v>
      </c>
      <c r="C221" s="189" t="s">
        <v>70</v>
      </c>
      <c r="D221" s="189" t="s">
        <v>154</v>
      </c>
      <c r="E221" s="191" t="s">
        <v>294</v>
      </c>
      <c r="F221" s="189" t="s">
        <v>21</v>
      </c>
      <c r="G221" s="190">
        <f>'прил 4'!G189</f>
        <v>4441.358</v>
      </c>
    </row>
    <row r="222" spans="1:7" ht="15.75">
      <c r="A222" s="187"/>
      <c r="B222" s="60" t="s">
        <v>126</v>
      </c>
      <c r="C222" s="189" t="s">
        <v>70</v>
      </c>
      <c r="D222" s="189" t="s">
        <v>154</v>
      </c>
      <c r="E222" s="191" t="s">
        <v>68</v>
      </c>
      <c r="F222" s="189"/>
      <c r="G222" s="190">
        <f>G223+G226</f>
        <v>81213.29840999999</v>
      </c>
    </row>
    <row r="223" spans="1:7" ht="78.75">
      <c r="A223" s="187"/>
      <c r="B223" s="69" t="s">
        <v>254</v>
      </c>
      <c r="C223" s="189" t="s">
        <v>70</v>
      </c>
      <c r="D223" s="189" t="s">
        <v>154</v>
      </c>
      <c r="E223" s="191" t="s">
        <v>255</v>
      </c>
      <c r="F223" s="189"/>
      <c r="G223" s="190">
        <f>G224+G225</f>
        <v>14213.298409999996</v>
      </c>
    </row>
    <row r="224" spans="1:7" ht="15.75">
      <c r="A224" s="187"/>
      <c r="B224" s="44" t="s">
        <v>18</v>
      </c>
      <c r="C224" s="189" t="s">
        <v>70</v>
      </c>
      <c r="D224" s="189" t="s">
        <v>154</v>
      </c>
      <c r="E224" s="191" t="s">
        <v>255</v>
      </c>
      <c r="F224" s="189" t="s">
        <v>19</v>
      </c>
      <c r="G224" s="190">
        <f>'прил 4'!G195</f>
        <v>4882.456999999999</v>
      </c>
    </row>
    <row r="225" spans="1:7" ht="31.5">
      <c r="A225" s="187"/>
      <c r="B225" s="44" t="s">
        <v>61</v>
      </c>
      <c r="C225" s="189" t="s">
        <v>70</v>
      </c>
      <c r="D225" s="189" t="s">
        <v>154</v>
      </c>
      <c r="E225" s="191" t="s">
        <v>255</v>
      </c>
      <c r="F225" s="189" t="s">
        <v>62</v>
      </c>
      <c r="G225" s="190">
        <f>'прил 4'!G200</f>
        <v>9330.841409999997</v>
      </c>
    </row>
    <row r="226" spans="1:7" ht="84.75" customHeight="1">
      <c r="A226" s="187"/>
      <c r="B226" s="60" t="s">
        <v>401</v>
      </c>
      <c r="C226" s="189" t="s">
        <v>70</v>
      </c>
      <c r="D226" s="189" t="s">
        <v>154</v>
      </c>
      <c r="E226" s="191" t="s">
        <v>359</v>
      </c>
      <c r="F226" s="189"/>
      <c r="G226" s="190">
        <f>G228+G227</f>
        <v>67000</v>
      </c>
    </row>
    <row r="227" spans="1:7" ht="31.5">
      <c r="A227" s="187"/>
      <c r="B227" s="44" t="s">
        <v>61</v>
      </c>
      <c r="C227" s="189" t="s">
        <v>70</v>
      </c>
      <c r="D227" s="189" t="s">
        <v>154</v>
      </c>
      <c r="E227" s="191" t="s">
        <v>359</v>
      </c>
      <c r="F227" s="189" t="s">
        <v>62</v>
      </c>
      <c r="G227" s="190">
        <f>'прил 4'!G395</f>
        <v>14692.495599999998</v>
      </c>
    </row>
    <row r="228" spans="1:7" ht="15.75">
      <c r="A228" s="187"/>
      <c r="B228" s="44" t="s">
        <v>20</v>
      </c>
      <c r="C228" s="189" t="s">
        <v>70</v>
      </c>
      <c r="D228" s="189" t="s">
        <v>154</v>
      </c>
      <c r="E228" s="191" t="s">
        <v>359</v>
      </c>
      <c r="F228" s="189" t="s">
        <v>21</v>
      </c>
      <c r="G228" s="190">
        <f>'прил 4'!G204</f>
        <v>52307.5044</v>
      </c>
    </row>
    <row r="229" spans="1:7" ht="31.5">
      <c r="A229" s="187"/>
      <c r="B229" s="69" t="s">
        <v>241</v>
      </c>
      <c r="C229" s="189" t="s">
        <v>70</v>
      </c>
      <c r="D229" s="189" t="s">
        <v>154</v>
      </c>
      <c r="E229" s="191" t="s">
        <v>222</v>
      </c>
      <c r="F229" s="189"/>
      <c r="G229" s="190">
        <f>G230+G232</f>
        <v>9724.042</v>
      </c>
    </row>
    <row r="230" spans="1:7" ht="47.25">
      <c r="A230" s="187"/>
      <c r="B230" s="69" t="s">
        <v>332</v>
      </c>
      <c r="C230" s="189" t="s">
        <v>70</v>
      </c>
      <c r="D230" s="189" t="s">
        <v>154</v>
      </c>
      <c r="E230" s="191" t="s">
        <v>271</v>
      </c>
      <c r="F230" s="189"/>
      <c r="G230" s="190">
        <f>G231</f>
        <v>8500</v>
      </c>
    </row>
    <row r="231" spans="1:7" ht="31.5">
      <c r="A231" s="187"/>
      <c r="B231" s="44" t="s">
        <v>61</v>
      </c>
      <c r="C231" s="189" t="s">
        <v>70</v>
      </c>
      <c r="D231" s="189" t="s">
        <v>154</v>
      </c>
      <c r="E231" s="191" t="s">
        <v>271</v>
      </c>
      <c r="F231" s="189" t="s">
        <v>62</v>
      </c>
      <c r="G231" s="190">
        <f>'прил 4'!G399</f>
        <v>8500</v>
      </c>
    </row>
    <row r="232" spans="1:7" ht="57.75" customHeight="1">
      <c r="A232" s="187"/>
      <c r="B232" s="69" t="s">
        <v>333</v>
      </c>
      <c r="C232" s="189" t="s">
        <v>70</v>
      </c>
      <c r="D232" s="189" t="s">
        <v>154</v>
      </c>
      <c r="E232" s="191" t="s">
        <v>301</v>
      </c>
      <c r="F232" s="189"/>
      <c r="G232" s="190">
        <f>G233</f>
        <v>1224.042</v>
      </c>
    </row>
    <row r="233" spans="1:7" ht="31.5">
      <c r="A233" s="187"/>
      <c r="B233" s="44" t="s">
        <v>61</v>
      </c>
      <c r="C233" s="189" t="s">
        <v>70</v>
      </c>
      <c r="D233" s="189" t="s">
        <v>154</v>
      </c>
      <c r="E233" s="191" t="s">
        <v>301</v>
      </c>
      <c r="F233" s="189" t="s">
        <v>62</v>
      </c>
      <c r="G233" s="190">
        <f>'прил 4'!G401</f>
        <v>1224.042</v>
      </c>
    </row>
    <row r="234" spans="1:7" ht="15.75">
      <c r="A234" s="187"/>
      <c r="B234" s="44" t="s">
        <v>9</v>
      </c>
      <c r="C234" s="191" t="s">
        <v>70</v>
      </c>
      <c r="D234" s="191" t="s">
        <v>154</v>
      </c>
      <c r="E234" s="191" t="s">
        <v>10</v>
      </c>
      <c r="F234" s="189"/>
      <c r="G234" s="190">
        <f>G239+G241+G243+G245+G247+G235+G237</f>
        <v>124377.56549000001</v>
      </c>
    </row>
    <row r="235" spans="1:7" ht="15.75">
      <c r="A235" s="187"/>
      <c r="B235" s="44" t="s">
        <v>404</v>
      </c>
      <c r="C235" s="191" t="s">
        <v>70</v>
      </c>
      <c r="D235" s="191" t="s">
        <v>154</v>
      </c>
      <c r="E235" s="81" t="s">
        <v>352</v>
      </c>
      <c r="F235" s="80"/>
      <c r="G235" s="190">
        <f>G236</f>
        <v>9268.23392</v>
      </c>
    </row>
    <row r="236" spans="1:7" ht="15.75">
      <c r="A236" s="187"/>
      <c r="B236" s="44" t="s">
        <v>18</v>
      </c>
      <c r="C236" s="191" t="s">
        <v>70</v>
      </c>
      <c r="D236" s="191" t="s">
        <v>154</v>
      </c>
      <c r="E236" s="81" t="s">
        <v>352</v>
      </c>
      <c r="F236" s="80" t="s">
        <v>19</v>
      </c>
      <c r="G236" s="190">
        <f>'прил 4'!G208</f>
        <v>9268.23392</v>
      </c>
    </row>
    <row r="237" spans="1:7" ht="15.75">
      <c r="A237" s="187"/>
      <c r="B237" s="44" t="s">
        <v>404</v>
      </c>
      <c r="C237" s="191" t="s">
        <v>70</v>
      </c>
      <c r="D237" s="191" t="s">
        <v>154</v>
      </c>
      <c r="E237" s="81" t="s">
        <v>352</v>
      </c>
      <c r="F237" s="80"/>
      <c r="G237" s="190">
        <f>G238</f>
        <v>359.341</v>
      </c>
    </row>
    <row r="238" spans="1:7" ht="15.75">
      <c r="A238" s="187"/>
      <c r="B238" s="44" t="s">
        <v>20</v>
      </c>
      <c r="C238" s="191" t="s">
        <v>70</v>
      </c>
      <c r="D238" s="191" t="s">
        <v>154</v>
      </c>
      <c r="E238" s="81" t="s">
        <v>352</v>
      </c>
      <c r="F238" s="80" t="s">
        <v>21</v>
      </c>
      <c r="G238" s="190">
        <f>'прил 4'!G210</f>
        <v>359.341</v>
      </c>
    </row>
    <row r="239" spans="1:7" ht="31.5">
      <c r="A239" s="187"/>
      <c r="B239" s="44" t="s">
        <v>242</v>
      </c>
      <c r="C239" s="191" t="s">
        <v>70</v>
      </c>
      <c r="D239" s="191" t="s">
        <v>154</v>
      </c>
      <c r="E239" s="191" t="s">
        <v>89</v>
      </c>
      <c r="F239" s="189"/>
      <c r="G239" s="190">
        <f>G240</f>
        <v>15265.291560000001</v>
      </c>
    </row>
    <row r="240" spans="1:7" ht="15.75">
      <c r="A240" s="187"/>
      <c r="B240" s="44" t="s">
        <v>18</v>
      </c>
      <c r="C240" s="191" t="s">
        <v>70</v>
      </c>
      <c r="D240" s="191" t="s">
        <v>154</v>
      </c>
      <c r="E240" s="191" t="s">
        <v>89</v>
      </c>
      <c r="F240" s="189" t="s">
        <v>19</v>
      </c>
      <c r="G240" s="190">
        <f>'прил 4'!G212</f>
        <v>15265.291560000001</v>
      </c>
    </row>
    <row r="241" spans="1:7" ht="15.75">
      <c r="A241" s="187"/>
      <c r="B241" s="44" t="s">
        <v>90</v>
      </c>
      <c r="C241" s="191" t="s">
        <v>70</v>
      </c>
      <c r="D241" s="191" t="s">
        <v>154</v>
      </c>
      <c r="E241" s="191" t="s">
        <v>91</v>
      </c>
      <c r="F241" s="189"/>
      <c r="G241" s="190">
        <f>G242</f>
        <v>3154.39091</v>
      </c>
    </row>
    <row r="242" spans="1:7" ht="15.75">
      <c r="A242" s="187"/>
      <c r="B242" s="44" t="s">
        <v>18</v>
      </c>
      <c r="C242" s="191" t="s">
        <v>70</v>
      </c>
      <c r="D242" s="191" t="s">
        <v>154</v>
      </c>
      <c r="E242" s="191" t="s">
        <v>91</v>
      </c>
      <c r="F242" s="189" t="s">
        <v>19</v>
      </c>
      <c r="G242" s="190">
        <f>'прил 4'!G216</f>
        <v>3154.39091</v>
      </c>
    </row>
    <row r="243" spans="1:7" ht="15.75">
      <c r="A243" s="187"/>
      <c r="B243" s="44" t="s">
        <v>92</v>
      </c>
      <c r="C243" s="191" t="s">
        <v>70</v>
      </c>
      <c r="D243" s="191" t="s">
        <v>154</v>
      </c>
      <c r="E243" s="191" t="s">
        <v>93</v>
      </c>
      <c r="F243" s="189"/>
      <c r="G243" s="190">
        <f>G244</f>
        <v>776.9580000000001</v>
      </c>
    </row>
    <row r="244" spans="1:7" ht="15.75">
      <c r="A244" s="187"/>
      <c r="B244" s="44" t="s">
        <v>18</v>
      </c>
      <c r="C244" s="191" t="s">
        <v>70</v>
      </c>
      <c r="D244" s="191" t="s">
        <v>154</v>
      </c>
      <c r="E244" s="191" t="s">
        <v>93</v>
      </c>
      <c r="F244" s="189" t="s">
        <v>19</v>
      </c>
      <c r="G244" s="190">
        <f>'прил 4'!G218</f>
        <v>776.9580000000001</v>
      </c>
    </row>
    <row r="245" spans="1:7" ht="15.75">
      <c r="A245" s="187"/>
      <c r="B245" s="44" t="s">
        <v>94</v>
      </c>
      <c r="C245" s="191" t="s">
        <v>70</v>
      </c>
      <c r="D245" s="191" t="s">
        <v>154</v>
      </c>
      <c r="E245" s="191" t="s">
        <v>95</v>
      </c>
      <c r="F245" s="189"/>
      <c r="G245" s="190">
        <f>G246</f>
        <v>296.14998</v>
      </c>
    </row>
    <row r="246" spans="1:7" ht="15.75">
      <c r="A246" s="187"/>
      <c r="B246" s="44" t="s">
        <v>18</v>
      </c>
      <c r="C246" s="191" t="s">
        <v>70</v>
      </c>
      <c r="D246" s="191" t="s">
        <v>154</v>
      </c>
      <c r="E246" s="191" t="s">
        <v>95</v>
      </c>
      <c r="F246" s="189" t="s">
        <v>19</v>
      </c>
      <c r="G246" s="190">
        <f>'прил 4'!G220</f>
        <v>296.14998</v>
      </c>
    </row>
    <row r="247" spans="1:7" ht="31.5">
      <c r="A247" s="187"/>
      <c r="B247" s="44" t="s">
        <v>87</v>
      </c>
      <c r="C247" s="191" t="s">
        <v>70</v>
      </c>
      <c r="D247" s="191" t="s">
        <v>154</v>
      </c>
      <c r="E247" s="191" t="s">
        <v>88</v>
      </c>
      <c r="F247" s="189"/>
      <c r="G247" s="190">
        <f>G248</f>
        <v>95257.20012000001</v>
      </c>
    </row>
    <row r="248" spans="1:7" ht="31.5">
      <c r="A248" s="187"/>
      <c r="B248" s="44" t="s">
        <v>61</v>
      </c>
      <c r="C248" s="191" t="s">
        <v>70</v>
      </c>
      <c r="D248" s="191" t="s">
        <v>154</v>
      </c>
      <c r="E248" s="191" t="s">
        <v>88</v>
      </c>
      <c r="F248" s="189" t="s">
        <v>62</v>
      </c>
      <c r="G248" s="190">
        <f>'прил 4'!G222</f>
        <v>95257.20012000001</v>
      </c>
    </row>
    <row r="249" spans="1:7" ht="15.75">
      <c r="A249" s="187"/>
      <c r="B249" s="44" t="s">
        <v>96</v>
      </c>
      <c r="C249" s="191" t="s">
        <v>70</v>
      </c>
      <c r="D249" s="191" t="s">
        <v>70</v>
      </c>
      <c r="E249" s="191"/>
      <c r="F249" s="189"/>
      <c r="G249" s="190">
        <f>G250+G258</f>
        <v>56383.727179999994</v>
      </c>
    </row>
    <row r="250" spans="1:7" ht="47.25">
      <c r="A250" s="187"/>
      <c r="B250" s="44" t="s">
        <v>227</v>
      </c>
      <c r="C250" s="191" t="s">
        <v>70</v>
      </c>
      <c r="D250" s="191" t="s">
        <v>70</v>
      </c>
      <c r="E250" s="191" t="s">
        <v>79</v>
      </c>
      <c r="F250" s="189"/>
      <c r="G250" s="190">
        <f>G251</f>
        <v>13903.244</v>
      </c>
    </row>
    <row r="251" spans="1:7" ht="31.5">
      <c r="A251" s="187"/>
      <c r="B251" s="44" t="s">
        <v>223</v>
      </c>
      <c r="C251" s="191" t="s">
        <v>70</v>
      </c>
      <c r="D251" s="191" t="s">
        <v>70</v>
      </c>
      <c r="E251" s="191" t="s">
        <v>80</v>
      </c>
      <c r="F251" s="189"/>
      <c r="G251" s="190">
        <f>G252+G254+G256</f>
        <v>13903.244</v>
      </c>
    </row>
    <row r="252" spans="1:7" ht="47.25">
      <c r="A252" s="187"/>
      <c r="B252" s="69" t="s">
        <v>229</v>
      </c>
      <c r="C252" s="191" t="s">
        <v>70</v>
      </c>
      <c r="D252" s="191" t="s">
        <v>70</v>
      </c>
      <c r="E252" s="191" t="s">
        <v>228</v>
      </c>
      <c r="F252" s="189"/>
      <c r="G252" s="190">
        <f>G253</f>
        <v>12971</v>
      </c>
    </row>
    <row r="253" spans="1:7" ht="15.75">
      <c r="A253" s="187"/>
      <c r="B253" s="44" t="s">
        <v>18</v>
      </c>
      <c r="C253" s="191" t="s">
        <v>70</v>
      </c>
      <c r="D253" s="191" t="s">
        <v>70</v>
      </c>
      <c r="E253" s="191" t="s">
        <v>228</v>
      </c>
      <c r="F253" s="189" t="s">
        <v>19</v>
      </c>
      <c r="G253" s="190">
        <f>'прил 4'!G227</f>
        <v>12971</v>
      </c>
    </row>
    <row r="254" spans="1:7" ht="63">
      <c r="A254" s="187"/>
      <c r="B254" s="69" t="s">
        <v>98</v>
      </c>
      <c r="C254" s="191" t="s">
        <v>70</v>
      </c>
      <c r="D254" s="191" t="s">
        <v>70</v>
      </c>
      <c r="E254" s="191" t="s">
        <v>302</v>
      </c>
      <c r="F254" s="189"/>
      <c r="G254" s="190">
        <f>G255</f>
        <v>712.244</v>
      </c>
    </row>
    <row r="255" spans="1:7" ht="15.75">
      <c r="A255" s="187"/>
      <c r="B255" s="44" t="s">
        <v>18</v>
      </c>
      <c r="C255" s="191" t="s">
        <v>70</v>
      </c>
      <c r="D255" s="191" t="s">
        <v>70</v>
      </c>
      <c r="E255" s="191" t="s">
        <v>302</v>
      </c>
      <c r="F255" s="189" t="s">
        <v>19</v>
      </c>
      <c r="G255" s="190">
        <f>'прил 4'!G229</f>
        <v>712.244</v>
      </c>
    </row>
    <row r="256" spans="1:7" ht="98.25" customHeight="1">
      <c r="A256" s="187"/>
      <c r="B256" s="69" t="s">
        <v>325</v>
      </c>
      <c r="C256" s="191" t="s">
        <v>70</v>
      </c>
      <c r="D256" s="191" t="s">
        <v>70</v>
      </c>
      <c r="E256" s="191" t="s">
        <v>230</v>
      </c>
      <c r="F256" s="197"/>
      <c r="G256" s="190">
        <f>G257</f>
        <v>220</v>
      </c>
    </row>
    <row r="257" spans="1:7" ht="15.75">
      <c r="A257" s="187"/>
      <c r="B257" s="44" t="s">
        <v>20</v>
      </c>
      <c r="C257" s="191" t="s">
        <v>70</v>
      </c>
      <c r="D257" s="191" t="s">
        <v>70</v>
      </c>
      <c r="E257" s="191" t="s">
        <v>230</v>
      </c>
      <c r="F257" s="197" t="s">
        <v>21</v>
      </c>
      <c r="G257" s="190">
        <f>'прил 4'!G232</f>
        <v>220</v>
      </c>
    </row>
    <row r="258" spans="1:7" ht="15.75">
      <c r="A258" s="187"/>
      <c r="B258" s="69" t="s">
        <v>181</v>
      </c>
      <c r="C258" s="191" t="s">
        <v>70</v>
      </c>
      <c r="D258" s="191" t="s">
        <v>70</v>
      </c>
      <c r="E258" s="191" t="s">
        <v>10</v>
      </c>
      <c r="F258" s="189"/>
      <c r="G258" s="190">
        <f>G259+G266+G264</f>
        <v>42480.483179999996</v>
      </c>
    </row>
    <row r="259" spans="1:7" ht="47.25">
      <c r="A259" s="187"/>
      <c r="B259" s="69" t="s">
        <v>16</v>
      </c>
      <c r="C259" s="191" t="s">
        <v>70</v>
      </c>
      <c r="D259" s="191" t="s">
        <v>70</v>
      </c>
      <c r="E259" s="191" t="s">
        <v>17</v>
      </c>
      <c r="F259" s="189"/>
      <c r="G259" s="190">
        <f>G260+G261+G263+G262</f>
        <v>22571.408349999998</v>
      </c>
    </row>
    <row r="260" spans="1:7" ht="47.25">
      <c r="A260" s="187"/>
      <c r="B260" s="44" t="s">
        <v>11</v>
      </c>
      <c r="C260" s="191" t="s">
        <v>70</v>
      </c>
      <c r="D260" s="191" t="s">
        <v>70</v>
      </c>
      <c r="E260" s="191" t="s">
        <v>17</v>
      </c>
      <c r="F260" s="189" t="s">
        <v>12</v>
      </c>
      <c r="G260" s="190">
        <f>'прил 4'!G235</f>
        <v>19357.374359999998</v>
      </c>
    </row>
    <row r="261" spans="1:7" ht="15.75">
      <c r="A261" s="187"/>
      <c r="B261" s="44" t="s">
        <v>18</v>
      </c>
      <c r="C261" s="191" t="s">
        <v>70</v>
      </c>
      <c r="D261" s="191" t="s">
        <v>70</v>
      </c>
      <c r="E261" s="191" t="s">
        <v>17</v>
      </c>
      <c r="F261" s="189" t="s">
        <v>19</v>
      </c>
      <c r="G261" s="190">
        <f>'прил 4'!G236</f>
        <v>1410.9204300000001</v>
      </c>
    </row>
    <row r="262" spans="1:7" ht="15.75">
      <c r="A262" s="187"/>
      <c r="B262" s="44" t="s">
        <v>49</v>
      </c>
      <c r="C262" s="191" t="s">
        <v>70</v>
      </c>
      <c r="D262" s="191" t="s">
        <v>70</v>
      </c>
      <c r="E262" s="191" t="s">
        <v>17</v>
      </c>
      <c r="F262" s="189" t="s">
        <v>50</v>
      </c>
      <c r="G262" s="190">
        <f>'прил 4'!G237</f>
        <v>141.11784</v>
      </c>
    </row>
    <row r="263" spans="1:7" ht="15.75">
      <c r="A263" s="187"/>
      <c r="B263" s="44" t="s">
        <v>20</v>
      </c>
      <c r="C263" s="191" t="s">
        <v>70</v>
      </c>
      <c r="D263" s="191" t="s">
        <v>70</v>
      </c>
      <c r="E263" s="191" t="s">
        <v>17</v>
      </c>
      <c r="F263" s="189" t="s">
        <v>21</v>
      </c>
      <c r="G263" s="190">
        <f>'прил 4'!G238</f>
        <v>1661.9957200000001</v>
      </c>
    </row>
    <row r="264" spans="1:7" ht="15.75">
      <c r="A264" s="187"/>
      <c r="B264" s="44" t="s">
        <v>351</v>
      </c>
      <c r="C264" s="191" t="s">
        <v>70</v>
      </c>
      <c r="D264" s="191" t="s">
        <v>70</v>
      </c>
      <c r="E264" s="191" t="s">
        <v>352</v>
      </c>
      <c r="F264" s="197"/>
      <c r="G264" s="190">
        <f>G265</f>
        <v>8171.659</v>
      </c>
    </row>
    <row r="265" spans="1:7" ht="15.75">
      <c r="A265" s="187"/>
      <c r="B265" s="44" t="s">
        <v>18</v>
      </c>
      <c r="C265" s="191" t="s">
        <v>70</v>
      </c>
      <c r="D265" s="191" t="s">
        <v>70</v>
      </c>
      <c r="E265" s="191" t="s">
        <v>352</v>
      </c>
      <c r="F265" s="197" t="s">
        <v>19</v>
      </c>
      <c r="G265" s="190">
        <f>'прил 4'!G328</f>
        <v>8171.659</v>
      </c>
    </row>
    <row r="266" spans="1:7" ht="47.25">
      <c r="A266" s="187"/>
      <c r="B266" s="73" t="s">
        <v>100</v>
      </c>
      <c r="C266" s="191" t="s">
        <v>70</v>
      </c>
      <c r="D266" s="191" t="s">
        <v>70</v>
      </c>
      <c r="E266" s="191" t="s">
        <v>101</v>
      </c>
      <c r="F266" s="197"/>
      <c r="G266" s="190">
        <f>SUM(G267:G269)</f>
        <v>11737.41583</v>
      </c>
    </row>
    <row r="267" spans="1:7" ht="47.25">
      <c r="A267" s="187"/>
      <c r="B267" s="44" t="s">
        <v>11</v>
      </c>
      <c r="C267" s="191" t="s">
        <v>70</v>
      </c>
      <c r="D267" s="191" t="s">
        <v>70</v>
      </c>
      <c r="E267" s="191" t="s">
        <v>101</v>
      </c>
      <c r="F267" s="197" t="s">
        <v>12</v>
      </c>
      <c r="G267" s="190">
        <f>'прил 4'!G240</f>
        <v>11214.01583</v>
      </c>
    </row>
    <row r="268" spans="1:7" ht="15.75">
      <c r="A268" s="187"/>
      <c r="B268" s="44" t="s">
        <v>18</v>
      </c>
      <c r="C268" s="191" t="s">
        <v>70</v>
      </c>
      <c r="D268" s="191" t="s">
        <v>70</v>
      </c>
      <c r="E268" s="191" t="s">
        <v>101</v>
      </c>
      <c r="F268" s="197" t="s">
        <v>19</v>
      </c>
      <c r="G268" s="190">
        <f>'прил 4'!G241</f>
        <v>518.4</v>
      </c>
    </row>
    <row r="269" spans="1:7" ht="15.75">
      <c r="A269" s="187"/>
      <c r="B269" s="44" t="s">
        <v>20</v>
      </c>
      <c r="C269" s="191" t="s">
        <v>70</v>
      </c>
      <c r="D269" s="191" t="s">
        <v>70</v>
      </c>
      <c r="E269" s="191" t="s">
        <v>101</v>
      </c>
      <c r="F269" s="197" t="s">
        <v>21</v>
      </c>
      <c r="G269" s="190">
        <f>'прил 4'!G242</f>
        <v>5</v>
      </c>
    </row>
    <row r="270" spans="1:7" ht="15.75">
      <c r="A270" s="183">
        <v>5</v>
      </c>
      <c r="B270" s="202" t="s">
        <v>280</v>
      </c>
      <c r="C270" s="185" t="s">
        <v>178</v>
      </c>
      <c r="D270" s="185"/>
      <c r="E270" s="185"/>
      <c r="F270" s="185"/>
      <c r="G270" s="186">
        <f>G271</f>
        <v>4968.72199</v>
      </c>
    </row>
    <row r="271" spans="1:7" ht="15.75">
      <c r="A271" s="187"/>
      <c r="B271" s="85" t="s">
        <v>275</v>
      </c>
      <c r="C271" s="191" t="s">
        <v>178</v>
      </c>
      <c r="D271" s="191" t="s">
        <v>70</v>
      </c>
      <c r="E271" s="191"/>
      <c r="F271" s="197"/>
      <c r="G271" s="190">
        <f>G272</f>
        <v>4968.72199</v>
      </c>
    </row>
    <row r="272" spans="1:7" ht="31.5">
      <c r="A272" s="187"/>
      <c r="B272" s="85" t="s">
        <v>276</v>
      </c>
      <c r="C272" s="191" t="s">
        <v>178</v>
      </c>
      <c r="D272" s="191" t="s">
        <v>70</v>
      </c>
      <c r="E272" s="191" t="s">
        <v>273</v>
      </c>
      <c r="F272" s="197"/>
      <c r="G272" s="190">
        <f>G273+G284</f>
        <v>4968.72199</v>
      </c>
    </row>
    <row r="273" spans="1:7" ht="31.5">
      <c r="A273" s="187"/>
      <c r="B273" s="44" t="s">
        <v>310</v>
      </c>
      <c r="C273" s="191" t="s">
        <v>178</v>
      </c>
      <c r="D273" s="191" t="s">
        <v>70</v>
      </c>
      <c r="E273" s="191" t="s">
        <v>311</v>
      </c>
      <c r="F273" s="197"/>
      <c r="G273" s="190">
        <f>G274+G276+G278+G280+G282</f>
        <v>3220.0020000000004</v>
      </c>
    </row>
    <row r="274" spans="1:7" ht="110.25">
      <c r="A274" s="187"/>
      <c r="B274" s="60" t="s">
        <v>312</v>
      </c>
      <c r="C274" s="191" t="s">
        <v>178</v>
      </c>
      <c r="D274" s="191" t="s">
        <v>70</v>
      </c>
      <c r="E274" s="191" t="s">
        <v>313</v>
      </c>
      <c r="F274" s="197"/>
      <c r="G274" s="190">
        <f>G275</f>
        <v>800</v>
      </c>
    </row>
    <row r="275" spans="1:7" ht="31.5">
      <c r="A275" s="187"/>
      <c r="B275" s="44" t="s">
        <v>61</v>
      </c>
      <c r="C275" s="191" t="s">
        <v>178</v>
      </c>
      <c r="D275" s="191" t="s">
        <v>70</v>
      </c>
      <c r="E275" s="191" t="s">
        <v>313</v>
      </c>
      <c r="F275" s="197" t="s">
        <v>62</v>
      </c>
      <c r="G275" s="190">
        <f>'прил 4'!G248</f>
        <v>800</v>
      </c>
    </row>
    <row r="276" spans="1:7" ht="63">
      <c r="A276" s="187"/>
      <c r="B276" s="60" t="s">
        <v>360</v>
      </c>
      <c r="C276" s="191" t="s">
        <v>178</v>
      </c>
      <c r="D276" s="191" t="s">
        <v>70</v>
      </c>
      <c r="E276" s="191" t="s">
        <v>361</v>
      </c>
      <c r="F276" s="197"/>
      <c r="G276" s="190">
        <f>G277</f>
        <v>362.49</v>
      </c>
    </row>
    <row r="277" spans="1:7" ht="31.5">
      <c r="A277" s="187"/>
      <c r="B277" s="44" t="s">
        <v>61</v>
      </c>
      <c r="C277" s="191" t="s">
        <v>178</v>
      </c>
      <c r="D277" s="191" t="s">
        <v>70</v>
      </c>
      <c r="E277" s="191" t="s">
        <v>361</v>
      </c>
      <c r="F277" s="197" t="s">
        <v>62</v>
      </c>
      <c r="G277" s="190">
        <f>'прил 4'!G251</f>
        <v>362.49</v>
      </c>
    </row>
    <row r="278" spans="1:7" ht="78.75">
      <c r="A278" s="187"/>
      <c r="B278" s="60" t="s">
        <v>363</v>
      </c>
      <c r="C278" s="191" t="s">
        <v>178</v>
      </c>
      <c r="D278" s="191" t="s">
        <v>70</v>
      </c>
      <c r="E278" s="191" t="s">
        <v>362</v>
      </c>
      <c r="F278" s="197"/>
      <c r="G278" s="190">
        <f>G279</f>
        <v>216.01602</v>
      </c>
    </row>
    <row r="279" spans="1:7" ht="31.5">
      <c r="A279" s="187"/>
      <c r="B279" s="44" t="s">
        <v>61</v>
      </c>
      <c r="C279" s="191" t="s">
        <v>178</v>
      </c>
      <c r="D279" s="191" t="s">
        <v>70</v>
      </c>
      <c r="E279" s="191" t="s">
        <v>362</v>
      </c>
      <c r="F279" s="197" t="s">
        <v>62</v>
      </c>
      <c r="G279" s="190">
        <f>'прил 4'!G253</f>
        <v>216.01602</v>
      </c>
    </row>
    <row r="280" spans="1:7" ht="63">
      <c r="A280" s="187"/>
      <c r="B280" s="60" t="s">
        <v>365</v>
      </c>
      <c r="C280" s="191" t="s">
        <v>178</v>
      </c>
      <c r="D280" s="191" t="s">
        <v>70</v>
      </c>
      <c r="E280" s="191" t="s">
        <v>367</v>
      </c>
      <c r="F280" s="197"/>
      <c r="G280" s="190">
        <f>G281</f>
        <v>979.02</v>
      </c>
    </row>
    <row r="281" spans="1:7" ht="31.5">
      <c r="A281" s="187"/>
      <c r="B281" s="44" t="s">
        <v>61</v>
      </c>
      <c r="C281" s="191" t="s">
        <v>178</v>
      </c>
      <c r="D281" s="191" t="s">
        <v>70</v>
      </c>
      <c r="E281" s="191" t="s">
        <v>367</v>
      </c>
      <c r="F281" s="197" t="s">
        <v>62</v>
      </c>
      <c r="G281" s="190">
        <f>'прил 4'!G256</f>
        <v>979.02</v>
      </c>
    </row>
    <row r="282" spans="1:7" ht="63">
      <c r="A282" s="187"/>
      <c r="B282" s="60" t="s">
        <v>364</v>
      </c>
      <c r="C282" s="191" t="s">
        <v>178</v>
      </c>
      <c r="D282" s="191" t="s">
        <v>70</v>
      </c>
      <c r="E282" s="191" t="s">
        <v>366</v>
      </c>
      <c r="F282" s="197"/>
      <c r="G282" s="190">
        <f>G283</f>
        <v>862.47598</v>
      </c>
    </row>
    <row r="283" spans="1:7" ht="31.5">
      <c r="A283" s="187"/>
      <c r="B283" s="44" t="s">
        <v>61</v>
      </c>
      <c r="C283" s="191" t="s">
        <v>178</v>
      </c>
      <c r="D283" s="191" t="s">
        <v>70</v>
      </c>
      <c r="E283" s="191" t="s">
        <v>366</v>
      </c>
      <c r="F283" s="197" t="s">
        <v>62</v>
      </c>
      <c r="G283" s="190">
        <f>'прил 4'!G257</f>
        <v>862.47598</v>
      </c>
    </row>
    <row r="284" spans="1:7" ht="31.5">
      <c r="A284" s="187"/>
      <c r="B284" s="44" t="s">
        <v>277</v>
      </c>
      <c r="C284" s="191" t="s">
        <v>178</v>
      </c>
      <c r="D284" s="191" t="s">
        <v>70</v>
      </c>
      <c r="E284" s="191" t="s">
        <v>274</v>
      </c>
      <c r="F284" s="197"/>
      <c r="G284" s="190">
        <f>G285+G287</f>
        <v>1748.71999</v>
      </c>
    </row>
    <row r="285" spans="1:7" ht="57" customHeight="1">
      <c r="A285" s="187"/>
      <c r="B285" s="60" t="s">
        <v>368</v>
      </c>
      <c r="C285" s="191" t="s">
        <v>178</v>
      </c>
      <c r="D285" s="191" t="s">
        <v>70</v>
      </c>
      <c r="E285" s="191" t="s">
        <v>370</v>
      </c>
      <c r="F285" s="197"/>
      <c r="G285" s="190">
        <f>G286</f>
        <v>1189.23</v>
      </c>
    </row>
    <row r="286" spans="1:7" ht="15.75">
      <c r="A286" s="187"/>
      <c r="B286" s="44" t="s">
        <v>18</v>
      </c>
      <c r="C286" s="191" t="s">
        <v>178</v>
      </c>
      <c r="D286" s="191" t="s">
        <v>70</v>
      </c>
      <c r="E286" s="191" t="s">
        <v>370</v>
      </c>
      <c r="F286" s="197" t="s">
        <v>19</v>
      </c>
      <c r="G286" s="190">
        <f>'прил 4'!G261</f>
        <v>1189.23</v>
      </c>
    </row>
    <row r="287" spans="1:7" ht="63">
      <c r="A287" s="187"/>
      <c r="B287" s="60" t="s">
        <v>369</v>
      </c>
      <c r="C287" s="191" t="s">
        <v>178</v>
      </c>
      <c r="D287" s="191" t="s">
        <v>70</v>
      </c>
      <c r="E287" s="191" t="s">
        <v>371</v>
      </c>
      <c r="F287" s="197"/>
      <c r="G287" s="190">
        <f>G288</f>
        <v>559.48999</v>
      </c>
    </row>
    <row r="288" spans="1:7" ht="15.75">
      <c r="A288" s="187"/>
      <c r="B288" s="44" t="s">
        <v>18</v>
      </c>
      <c r="C288" s="191" t="s">
        <v>178</v>
      </c>
      <c r="D288" s="191" t="s">
        <v>70</v>
      </c>
      <c r="E288" s="191" t="s">
        <v>371</v>
      </c>
      <c r="F288" s="197" t="s">
        <v>19</v>
      </c>
      <c r="G288" s="190">
        <f>'прил 4'!G263</f>
        <v>559.48999</v>
      </c>
    </row>
    <row r="289" spans="1:7" s="4" customFormat="1" ht="15.75">
      <c r="A289" s="183">
        <v>6</v>
      </c>
      <c r="B289" s="202" t="s">
        <v>129</v>
      </c>
      <c r="C289" s="185" t="s">
        <v>130</v>
      </c>
      <c r="D289" s="185"/>
      <c r="E289" s="185"/>
      <c r="F289" s="185"/>
      <c r="G289" s="186">
        <f>G290</f>
        <v>220</v>
      </c>
    </row>
    <row r="290" spans="1:7" ht="15.75">
      <c r="A290" s="187"/>
      <c r="B290" s="44" t="s">
        <v>251</v>
      </c>
      <c r="C290" s="191" t="s">
        <v>130</v>
      </c>
      <c r="D290" s="191" t="s">
        <v>130</v>
      </c>
      <c r="E290" s="191"/>
      <c r="F290" s="189"/>
      <c r="G290" s="190">
        <f>G291</f>
        <v>220</v>
      </c>
    </row>
    <row r="291" spans="1:7" ht="31.5">
      <c r="A291" s="187"/>
      <c r="B291" s="79" t="s">
        <v>192</v>
      </c>
      <c r="C291" s="191" t="s">
        <v>130</v>
      </c>
      <c r="D291" s="191" t="s">
        <v>130</v>
      </c>
      <c r="E291" s="191" t="s">
        <v>132</v>
      </c>
      <c r="F291" s="197"/>
      <c r="G291" s="190">
        <f>G292+G295</f>
        <v>220</v>
      </c>
    </row>
    <row r="292" spans="1:7" ht="15.75">
      <c r="A292" s="187"/>
      <c r="B292" s="79" t="s">
        <v>196</v>
      </c>
      <c r="C292" s="191" t="s">
        <v>130</v>
      </c>
      <c r="D292" s="191" t="s">
        <v>130</v>
      </c>
      <c r="E292" s="191" t="s">
        <v>195</v>
      </c>
      <c r="F292" s="197"/>
      <c r="G292" s="190">
        <f>G293</f>
        <v>160</v>
      </c>
    </row>
    <row r="293" spans="1:7" ht="78.75">
      <c r="A293" s="187"/>
      <c r="B293" s="85" t="s">
        <v>133</v>
      </c>
      <c r="C293" s="191" t="s">
        <v>130</v>
      </c>
      <c r="D293" s="191" t="s">
        <v>130</v>
      </c>
      <c r="E293" s="191" t="s">
        <v>197</v>
      </c>
      <c r="F293" s="197"/>
      <c r="G293" s="190">
        <f>G294</f>
        <v>160</v>
      </c>
    </row>
    <row r="294" spans="1:7" ht="15.75">
      <c r="A294" s="187"/>
      <c r="B294" s="79" t="s">
        <v>18</v>
      </c>
      <c r="C294" s="191" t="s">
        <v>130</v>
      </c>
      <c r="D294" s="191" t="s">
        <v>130</v>
      </c>
      <c r="E294" s="191" t="s">
        <v>197</v>
      </c>
      <c r="F294" s="197" t="s">
        <v>19</v>
      </c>
      <c r="G294" s="190">
        <f>'прил 4'!G408</f>
        <v>160</v>
      </c>
    </row>
    <row r="295" spans="1:7" ht="63">
      <c r="A295" s="187"/>
      <c r="B295" s="85" t="s">
        <v>134</v>
      </c>
      <c r="C295" s="191" t="s">
        <v>130</v>
      </c>
      <c r="D295" s="191" t="s">
        <v>130</v>
      </c>
      <c r="E295" s="191" t="s">
        <v>198</v>
      </c>
      <c r="F295" s="197"/>
      <c r="G295" s="190">
        <f>G296</f>
        <v>60</v>
      </c>
    </row>
    <row r="296" spans="1:7" ht="15.75">
      <c r="A296" s="187"/>
      <c r="B296" s="79" t="s">
        <v>18</v>
      </c>
      <c r="C296" s="191" t="s">
        <v>130</v>
      </c>
      <c r="D296" s="191" t="s">
        <v>130</v>
      </c>
      <c r="E296" s="191" t="s">
        <v>198</v>
      </c>
      <c r="F296" s="197" t="s">
        <v>19</v>
      </c>
      <c r="G296" s="190">
        <f>'прил 4'!G411</f>
        <v>60</v>
      </c>
    </row>
    <row r="297" spans="1:7" s="4" customFormat="1" ht="15.75">
      <c r="A297" s="183">
        <v>7</v>
      </c>
      <c r="B297" s="184" t="s">
        <v>136</v>
      </c>
      <c r="C297" s="185" t="s">
        <v>137</v>
      </c>
      <c r="D297" s="185"/>
      <c r="E297" s="185"/>
      <c r="F297" s="185"/>
      <c r="G297" s="186">
        <f>G298</f>
        <v>36231.04075</v>
      </c>
    </row>
    <row r="298" spans="1:7" ht="15.75">
      <c r="A298" s="187"/>
      <c r="B298" s="44" t="s">
        <v>138</v>
      </c>
      <c r="C298" s="191" t="s">
        <v>137</v>
      </c>
      <c r="D298" s="191" t="s">
        <v>8</v>
      </c>
      <c r="E298" s="191"/>
      <c r="F298" s="191"/>
      <c r="G298" s="190">
        <f>G308+G299</f>
        <v>36231.04075</v>
      </c>
    </row>
    <row r="299" spans="1:7" ht="15.75">
      <c r="A299" s="187"/>
      <c r="B299" s="79" t="s">
        <v>201</v>
      </c>
      <c r="C299" s="191" t="s">
        <v>137</v>
      </c>
      <c r="D299" s="191" t="s">
        <v>8</v>
      </c>
      <c r="E299" s="191" t="s">
        <v>140</v>
      </c>
      <c r="F299" s="191"/>
      <c r="G299" s="190">
        <f>G300+G303</f>
        <v>874.95156</v>
      </c>
    </row>
    <row r="300" spans="1:7" ht="31.5">
      <c r="A300" s="187"/>
      <c r="B300" s="79" t="s">
        <v>202</v>
      </c>
      <c r="C300" s="191" t="s">
        <v>137</v>
      </c>
      <c r="D300" s="191" t="s">
        <v>8</v>
      </c>
      <c r="E300" s="191" t="s">
        <v>203</v>
      </c>
      <c r="F300" s="191"/>
      <c r="G300" s="190">
        <f>G301</f>
        <v>642</v>
      </c>
    </row>
    <row r="301" spans="1:7" ht="110.25">
      <c r="A301" s="187"/>
      <c r="B301" s="84" t="s">
        <v>290</v>
      </c>
      <c r="C301" s="191" t="s">
        <v>137</v>
      </c>
      <c r="D301" s="191" t="s">
        <v>8</v>
      </c>
      <c r="E301" s="191" t="s">
        <v>204</v>
      </c>
      <c r="F301" s="191"/>
      <c r="G301" s="190">
        <f>G302</f>
        <v>642</v>
      </c>
    </row>
    <row r="302" spans="1:7" ht="15.75">
      <c r="A302" s="187"/>
      <c r="B302" s="79" t="s">
        <v>18</v>
      </c>
      <c r="C302" s="191" t="s">
        <v>137</v>
      </c>
      <c r="D302" s="191" t="s">
        <v>8</v>
      </c>
      <c r="E302" s="191" t="s">
        <v>204</v>
      </c>
      <c r="F302" s="191" t="s">
        <v>19</v>
      </c>
      <c r="G302" s="190">
        <f>'прил 4'!G417</f>
        <v>642</v>
      </c>
    </row>
    <row r="303" spans="1:7" ht="15.75">
      <c r="A303" s="187"/>
      <c r="B303" s="79" t="s">
        <v>281</v>
      </c>
      <c r="C303" s="191" t="s">
        <v>137</v>
      </c>
      <c r="D303" s="191" t="s">
        <v>8</v>
      </c>
      <c r="E303" s="191" t="s">
        <v>282</v>
      </c>
      <c r="F303" s="197"/>
      <c r="G303" s="190">
        <f>G304+G306</f>
        <v>232.95156</v>
      </c>
    </row>
    <row r="304" spans="1:7" ht="63">
      <c r="A304" s="187"/>
      <c r="B304" s="84" t="s">
        <v>284</v>
      </c>
      <c r="C304" s="191" t="s">
        <v>137</v>
      </c>
      <c r="D304" s="191" t="s">
        <v>8</v>
      </c>
      <c r="E304" s="191" t="s">
        <v>283</v>
      </c>
      <c r="F304" s="197"/>
      <c r="G304" s="190">
        <f>G305</f>
        <v>100</v>
      </c>
    </row>
    <row r="305" spans="1:7" ht="31.5">
      <c r="A305" s="187"/>
      <c r="B305" s="44" t="s">
        <v>61</v>
      </c>
      <c r="C305" s="191" t="s">
        <v>137</v>
      </c>
      <c r="D305" s="191" t="s">
        <v>8</v>
      </c>
      <c r="E305" s="191" t="s">
        <v>283</v>
      </c>
      <c r="F305" s="197" t="s">
        <v>62</v>
      </c>
      <c r="G305" s="190">
        <f>'прил 4'!G420</f>
        <v>100</v>
      </c>
    </row>
    <row r="306" spans="1:7" ht="63">
      <c r="A306" s="187"/>
      <c r="B306" s="85" t="s">
        <v>380</v>
      </c>
      <c r="C306" s="191" t="s">
        <v>137</v>
      </c>
      <c r="D306" s="191" t="s">
        <v>8</v>
      </c>
      <c r="E306" s="191" t="s">
        <v>381</v>
      </c>
      <c r="F306" s="191"/>
      <c r="G306" s="190">
        <f>G307</f>
        <v>132.95156</v>
      </c>
    </row>
    <row r="307" spans="1:7" ht="31.5">
      <c r="A307" s="187"/>
      <c r="B307" s="79" t="s">
        <v>61</v>
      </c>
      <c r="C307" s="191" t="s">
        <v>137</v>
      </c>
      <c r="D307" s="191" t="s">
        <v>8</v>
      </c>
      <c r="E307" s="191" t="s">
        <v>381</v>
      </c>
      <c r="F307" s="197" t="s">
        <v>62</v>
      </c>
      <c r="G307" s="190">
        <f>'прил 4'!G424</f>
        <v>132.95156</v>
      </c>
    </row>
    <row r="308" spans="1:7" ht="15.75">
      <c r="A308" s="187"/>
      <c r="B308" s="44" t="s">
        <v>9</v>
      </c>
      <c r="C308" s="191" t="s">
        <v>137</v>
      </c>
      <c r="D308" s="191" t="s">
        <v>8</v>
      </c>
      <c r="E308" s="191" t="s">
        <v>10</v>
      </c>
      <c r="F308" s="191"/>
      <c r="G308" s="190">
        <f>G309</f>
        <v>35356.08919</v>
      </c>
    </row>
    <row r="309" spans="1:7" ht="47.25">
      <c r="A309" s="187"/>
      <c r="B309" s="44" t="s">
        <v>199</v>
      </c>
      <c r="C309" s="191" t="s">
        <v>137</v>
      </c>
      <c r="D309" s="191" t="s">
        <v>8</v>
      </c>
      <c r="E309" s="191" t="s">
        <v>200</v>
      </c>
      <c r="F309" s="191"/>
      <c r="G309" s="190">
        <f>G310</f>
        <v>35356.08919</v>
      </c>
    </row>
    <row r="310" spans="1:7" ht="31.5">
      <c r="A310" s="187"/>
      <c r="B310" s="44" t="s">
        <v>61</v>
      </c>
      <c r="C310" s="191" t="s">
        <v>137</v>
      </c>
      <c r="D310" s="191" t="s">
        <v>8</v>
      </c>
      <c r="E310" s="191" t="s">
        <v>200</v>
      </c>
      <c r="F310" s="191" t="s">
        <v>62</v>
      </c>
      <c r="G310" s="190">
        <f>'прил 4'!G430</f>
        <v>35356.08919</v>
      </c>
    </row>
    <row r="311" spans="1:7" s="4" customFormat="1" ht="15.75">
      <c r="A311" s="183">
        <v>8</v>
      </c>
      <c r="B311" s="184" t="s">
        <v>44</v>
      </c>
      <c r="C311" s="185" t="s">
        <v>45</v>
      </c>
      <c r="D311" s="185"/>
      <c r="E311" s="185"/>
      <c r="F311" s="185"/>
      <c r="G311" s="186">
        <f>G312+G316</f>
        <v>72381.916</v>
      </c>
    </row>
    <row r="312" spans="1:7" ht="15.75">
      <c r="A312" s="187"/>
      <c r="B312" s="188" t="s">
        <v>55</v>
      </c>
      <c r="C312" s="189" t="s">
        <v>45</v>
      </c>
      <c r="D312" s="189" t="s">
        <v>8</v>
      </c>
      <c r="E312" s="189"/>
      <c r="F312" s="189"/>
      <c r="G312" s="190">
        <f>G313</f>
        <v>5182.2024</v>
      </c>
    </row>
    <row r="313" spans="1:7" ht="15.75">
      <c r="A313" s="187"/>
      <c r="B313" s="193" t="s">
        <v>9</v>
      </c>
      <c r="C313" s="189" t="s">
        <v>45</v>
      </c>
      <c r="D313" s="189" t="s">
        <v>8</v>
      </c>
      <c r="E313" s="191" t="s">
        <v>10</v>
      </c>
      <c r="F313" s="189"/>
      <c r="G313" s="190">
        <f>G314</f>
        <v>5182.2024</v>
      </c>
    </row>
    <row r="314" spans="1:7" ht="15.75">
      <c r="A314" s="187"/>
      <c r="B314" s="192" t="s">
        <v>57</v>
      </c>
      <c r="C314" s="189" t="s">
        <v>45</v>
      </c>
      <c r="D314" s="189" t="s">
        <v>8</v>
      </c>
      <c r="E314" s="191" t="s">
        <v>58</v>
      </c>
      <c r="F314" s="189"/>
      <c r="G314" s="190">
        <f>G315</f>
        <v>5182.2024</v>
      </c>
    </row>
    <row r="315" spans="1:7" ht="15.75">
      <c r="A315" s="187"/>
      <c r="B315" s="192" t="s">
        <v>49</v>
      </c>
      <c r="C315" s="189" t="s">
        <v>45</v>
      </c>
      <c r="D315" s="189" t="s">
        <v>8</v>
      </c>
      <c r="E315" s="191" t="s">
        <v>58</v>
      </c>
      <c r="F315" s="189" t="s">
        <v>50</v>
      </c>
      <c r="G315" s="190">
        <f>'прил 4'!G88</f>
        <v>5182.2024</v>
      </c>
    </row>
    <row r="316" spans="1:7" ht="15.75">
      <c r="A316" s="187"/>
      <c r="B316" s="192" t="s">
        <v>46</v>
      </c>
      <c r="C316" s="203" t="s">
        <v>45</v>
      </c>
      <c r="D316" s="203" t="s">
        <v>154</v>
      </c>
      <c r="E316" s="203"/>
      <c r="F316" s="189"/>
      <c r="G316" s="190">
        <f>G317+G323</f>
        <v>67199.7136</v>
      </c>
    </row>
    <row r="317" spans="1:7" ht="31.5">
      <c r="A317" s="187"/>
      <c r="B317" s="69" t="s">
        <v>185</v>
      </c>
      <c r="C317" s="203" t="s">
        <v>45</v>
      </c>
      <c r="D317" s="203" t="s">
        <v>154</v>
      </c>
      <c r="E317" s="191" t="s">
        <v>117</v>
      </c>
      <c r="F317" s="189"/>
      <c r="G317" s="190">
        <f>G318</f>
        <v>24382.7136</v>
      </c>
    </row>
    <row r="318" spans="1:7" ht="15.75">
      <c r="A318" s="187"/>
      <c r="B318" s="69" t="s">
        <v>287</v>
      </c>
      <c r="C318" s="203" t="s">
        <v>45</v>
      </c>
      <c r="D318" s="203" t="s">
        <v>154</v>
      </c>
      <c r="E318" s="191" t="s">
        <v>205</v>
      </c>
      <c r="F318" s="189"/>
      <c r="G318" s="190">
        <f>G321+G319</f>
        <v>24382.7136</v>
      </c>
    </row>
    <row r="319" spans="1:7" ht="94.5">
      <c r="A319" s="187"/>
      <c r="B319" s="60" t="s">
        <v>426</v>
      </c>
      <c r="C319" s="203" t="s">
        <v>45</v>
      </c>
      <c r="D319" s="203" t="s">
        <v>154</v>
      </c>
      <c r="E319" s="204" t="s">
        <v>427</v>
      </c>
      <c r="F319" s="45"/>
      <c r="G319" s="190">
        <f>G320</f>
        <v>613.1943</v>
      </c>
    </row>
    <row r="320" spans="1:7" ht="15.75">
      <c r="A320" s="187"/>
      <c r="B320" s="48" t="s">
        <v>49</v>
      </c>
      <c r="C320" s="203" t="s">
        <v>45</v>
      </c>
      <c r="D320" s="203" t="s">
        <v>154</v>
      </c>
      <c r="E320" s="204" t="s">
        <v>427</v>
      </c>
      <c r="F320" s="45" t="s">
        <v>50</v>
      </c>
      <c r="G320" s="190">
        <f>'прил 4'!G437</f>
        <v>613.1943</v>
      </c>
    </row>
    <row r="321" spans="1:7" ht="63">
      <c r="A321" s="187"/>
      <c r="B321" s="60" t="s">
        <v>323</v>
      </c>
      <c r="C321" s="203" t="s">
        <v>45</v>
      </c>
      <c r="D321" s="203" t="s">
        <v>154</v>
      </c>
      <c r="E321" s="205" t="s">
        <v>295</v>
      </c>
      <c r="F321" s="189"/>
      <c r="G321" s="190">
        <f>G322</f>
        <v>23769.5193</v>
      </c>
    </row>
    <row r="322" spans="1:7" ht="15.75">
      <c r="A322" s="187"/>
      <c r="B322" s="48" t="s">
        <v>49</v>
      </c>
      <c r="C322" s="203" t="s">
        <v>45</v>
      </c>
      <c r="D322" s="203" t="s">
        <v>154</v>
      </c>
      <c r="E322" s="205" t="s">
        <v>295</v>
      </c>
      <c r="F322" s="189" t="s">
        <v>50</v>
      </c>
      <c r="G322" s="190">
        <f>'прил 4'!G440</f>
        <v>23769.5193</v>
      </c>
    </row>
    <row r="323" spans="1:7" ht="15.75">
      <c r="A323" s="187"/>
      <c r="B323" s="192" t="s">
        <v>78</v>
      </c>
      <c r="C323" s="203">
        <v>10</v>
      </c>
      <c r="D323" s="206" t="s">
        <v>154</v>
      </c>
      <c r="E323" s="203" t="s">
        <v>10</v>
      </c>
      <c r="F323" s="189"/>
      <c r="G323" s="190">
        <f>G326+G328+G331+G324</f>
        <v>42817</v>
      </c>
    </row>
    <row r="324" spans="1:7" ht="31.5">
      <c r="A324" s="187"/>
      <c r="B324" s="192" t="s">
        <v>414</v>
      </c>
      <c r="C324" s="203">
        <v>10</v>
      </c>
      <c r="D324" s="206" t="s">
        <v>154</v>
      </c>
      <c r="E324" s="203" t="s">
        <v>402</v>
      </c>
      <c r="F324" s="189"/>
      <c r="G324" s="190">
        <f>G325</f>
        <v>200</v>
      </c>
    </row>
    <row r="325" spans="1:7" ht="15.75">
      <c r="A325" s="187"/>
      <c r="B325" s="192" t="s">
        <v>49</v>
      </c>
      <c r="C325" s="203">
        <v>10</v>
      </c>
      <c r="D325" s="206" t="s">
        <v>154</v>
      </c>
      <c r="E325" s="203" t="s">
        <v>402</v>
      </c>
      <c r="F325" s="189" t="s">
        <v>50</v>
      </c>
      <c r="G325" s="190">
        <f>'прил 4'!G68</f>
        <v>200</v>
      </c>
    </row>
    <row r="326" spans="1:7" ht="47.25">
      <c r="A326" s="187"/>
      <c r="B326" s="48" t="s">
        <v>400</v>
      </c>
      <c r="C326" s="189" t="s">
        <v>45</v>
      </c>
      <c r="D326" s="189" t="s">
        <v>154</v>
      </c>
      <c r="E326" s="191" t="s">
        <v>99</v>
      </c>
      <c r="F326" s="189"/>
      <c r="G326" s="190">
        <f>G327</f>
        <v>300</v>
      </c>
    </row>
    <row r="327" spans="1:7" ht="15.75">
      <c r="A327" s="187"/>
      <c r="B327" s="48" t="s">
        <v>49</v>
      </c>
      <c r="C327" s="189" t="s">
        <v>45</v>
      </c>
      <c r="D327" s="189" t="s">
        <v>154</v>
      </c>
      <c r="E327" s="191" t="s">
        <v>99</v>
      </c>
      <c r="F327" s="189" t="s">
        <v>50</v>
      </c>
      <c r="G327" s="190">
        <f>'прил 4'!G270</f>
        <v>300</v>
      </c>
    </row>
    <row r="328" spans="1:7" ht="63">
      <c r="A328" s="187"/>
      <c r="B328" s="48" t="s">
        <v>279</v>
      </c>
      <c r="C328" s="203" t="s">
        <v>45</v>
      </c>
      <c r="D328" s="203" t="s">
        <v>154</v>
      </c>
      <c r="E328" s="191" t="s">
        <v>278</v>
      </c>
      <c r="F328" s="189"/>
      <c r="G328" s="190">
        <f>SUM(G329:G330)</f>
        <v>13576</v>
      </c>
    </row>
    <row r="329" spans="1:7" ht="47.25">
      <c r="A329" s="187"/>
      <c r="B329" s="44" t="s">
        <v>11</v>
      </c>
      <c r="C329" s="203">
        <v>10</v>
      </c>
      <c r="D329" s="206" t="s">
        <v>154</v>
      </c>
      <c r="E329" s="191" t="s">
        <v>278</v>
      </c>
      <c r="F329" s="189" t="s">
        <v>12</v>
      </c>
      <c r="G329" s="190">
        <f>'прил 4'!G272</f>
        <v>396</v>
      </c>
    </row>
    <row r="330" spans="1:7" ht="15.75">
      <c r="A330" s="187"/>
      <c r="B330" s="48" t="s">
        <v>20</v>
      </c>
      <c r="C330" s="189" t="s">
        <v>45</v>
      </c>
      <c r="D330" s="189" t="s">
        <v>154</v>
      </c>
      <c r="E330" s="191" t="s">
        <v>278</v>
      </c>
      <c r="F330" s="189" t="s">
        <v>21</v>
      </c>
      <c r="G330" s="190">
        <f>'прил 4'!G273</f>
        <v>13180</v>
      </c>
    </row>
    <row r="331" spans="1:7" ht="47.25">
      <c r="A331" s="187"/>
      <c r="B331" s="48" t="s">
        <v>267</v>
      </c>
      <c r="C331" s="189" t="s">
        <v>45</v>
      </c>
      <c r="D331" s="189" t="s">
        <v>154</v>
      </c>
      <c r="E331" s="191" t="s">
        <v>266</v>
      </c>
      <c r="F331" s="189"/>
      <c r="G331" s="190">
        <f>SUM(G332:G333)</f>
        <v>28741</v>
      </c>
    </row>
    <row r="332" spans="1:7" ht="15.75">
      <c r="A332" s="187"/>
      <c r="B332" s="48" t="s">
        <v>18</v>
      </c>
      <c r="C332" s="189" t="s">
        <v>45</v>
      </c>
      <c r="D332" s="189" t="s">
        <v>154</v>
      </c>
      <c r="E332" s="191" t="s">
        <v>266</v>
      </c>
      <c r="F332" s="189" t="s">
        <v>19</v>
      </c>
      <c r="G332" s="190">
        <f>'прил 4'!G275</f>
        <v>269</v>
      </c>
    </row>
    <row r="333" spans="1:7" ht="15.75">
      <c r="A333" s="187"/>
      <c r="B333" s="48" t="s">
        <v>49</v>
      </c>
      <c r="C333" s="189" t="s">
        <v>45</v>
      </c>
      <c r="D333" s="189" t="s">
        <v>154</v>
      </c>
      <c r="E333" s="191" t="s">
        <v>266</v>
      </c>
      <c r="F333" s="189" t="s">
        <v>50</v>
      </c>
      <c r="G333" s="190">
        <f>'прил 4'!G276</f>
        <v>28472</v>
      </c>
    </row>
    <row r="334" spans="1:7" s="4" customFormat="1" ht="15.75">
      <c r="A334" s="183">
        <v>9</v>
      </c>
      <c r="B334" s="184" t="s">
        <v>141</v>
      </c>
      <c r="C334" s="185" t="s">
        <v>142</v>
      </c>
      <c r="D334" s="185"/>
      <c r="E334" s="185"/>
      <c r="F334" s="185"/>
      <c r="G334" s="186">
        <f>G335</f>
        <v>26331.2833</v>
      </c>
    </row>
    <row r="335" spans="1:7" ht="15.75">
      <c r="A335" s="187"/>
      <c r="B335" s="188" t="s">
        <v>143</v>
      </c>
      <c r="C335" s="189" t="s">
        <v>142</v>
      </c>
      <c r="D335" s="189" t="s">
        <v>8</v>
      </c>
      <c r="E335" s="189"/>
      <c r="F335" s="189"/>
      <c r="G335" s="190">
        <f>G336+G342</f>
        <v>26331.2833</v>
      </c>
    </row>
    <row r="336" spans="1:7" ht="31.5">
      <c r="A336" s="187"/>
      <c r="B336" s="79" t="s">
        <v>208</v>
      </c>
      <c r="C336" s="189" t="s">
        <v>142</v>
      </c>
      <c r="D336" s="189" t="s">
        <v>8</v>
      </c>
      <c r="E336" s="191" t="s">
        <v>132</v>
      </c>
      <c r="F336" s="197"/>
      <c r="G336" s="190">
        <f>G337</f>
        <v>200</v>
      </c>
    </row>
    <row r="337" spans="1:7" ht="31.5">
      <c r="A337" s="187"/>
      <c r="B337" s="84" t="s">
        <v>193</v>
      </c>
      <c r="C337" s="189" t="s">
        <v>142</v>
      </c>
      <c r="D337" s="189" t="s">
        <v>8</v>
      </c>
      <c r="E337" s="191" t="s">
        <v>147</v>
      </c>
      <c r="F337" s="197"/>
      <c r="G337" s="190">
        <f>G339+G341</f>
        <v>200</v>
      </c>
    </row>
    <row r="338" spans="1:7" ht="67.5" customHeight="1">
      <c r="A338" s="187"/>
      <c r="B338" s="84" t="s">
        <v>291</v>
      </c>
      <c r="C338" s="189" t="s">
        <v>142</v>
      </c>
      <c r="D338" s="189" t="s">
        <v>8</v>
      </c>
      <c r="E338" s="191" t="s">
        <v>148</v>
      </c>
      <c r="F338" s="197"/>
      <c r="G338" s="190">
        <f>G339</f>
        <v>150</v>
      </c>
    </row>
    <row r="339" spans="1:7" ht="15.75">
      <c r="A339" s="187"/>
      <c r="B339" s="79" t="s">
        <v>18</v>
      </c>
      <c r="C339" s="189" t="s">
        <v>142</v>
      </c>
      <c r="D339" s="189" t="s">
        <v>8</v>
      </c>
      <c r="E339" s="191" t="s">
        <v>148</v>
      </c>
      <c r="F339" s="197" t="s">
        <v>19</v>
      </c>
      <c r="G339" s="190">
        <f>'прил 4'!G450</f>
        <v>150</v>
      </c>
    </row>
    <row r="340" spans="1:7" ht="78.75">
      <c r="A340" s="187"/>
      <c r="B340" s="84" t="s">
        <v>209</v>
      </c>
      <c r="C340" s="189" t="s">
        <v>142</v>
      </c>
      <c r="D340" s="189" t="s">
        <v>8</v>
      </c>
      <c r="E340" s="191" t="s">
        <v>194</v>
      </c>
      <c r="F340" s="197"/>
      <c r="G340" s="190">
        <f>G341</f>
        <v>50</v>
      </c>
    </row>
    <row r="341" spans="1:7" ht="15.75">
      <c r="A341" s="187"/>
      <c r="B341" s="79" t="s">
        <v>18</v>
      </c>
      <c r="C341" s="189" t="s">
        <v>142</v>
      </c>
      <c r="D341" s="189" t="s">
        <v>8</v>
      </c>
      <c r="E341" s="191" t="s">
        <v>194</v>
      </c>
      <c r="F341" s="197" t="s">
        <v>19</v>
      </c>
      <c r="G341" s="190">
        <f>'прил 4'!G452</f>
        <v>50</v>
      </c>
    </row>
    <row r="342" spans="1:7" ht="15.75">
      <c r="A342" s="187"/>
      <c r="B342" s="44" t="s">
        <v>9</v>
      </c>
      <c r="C342" s="189" t="s">
        <v>142</v>
      </c>
      <c r="D342" s="189" t="s">
        <v>8</v>
      </c>
      <c r="E342" s="191" t="s">
        <v>10</v>
      </c>
      <c r="F342" s="189"/>
      <c r="G342" s="190">
        <f>G343</f>
        <v>26131.2833</v>
      </c>
    </row>
    <row r="343" spans="1:7" ht="47.25">
      <c r="A343" s="187"/>
      <c r="B343" s="44" t="s">
        <v>145</v>
      </c>
      <c r="C343" s="189" t="s">
        <v>142</v>
      </c>
      <c r="D343" s="189" t="s">
        <v>8</v>
      </c>
      <c r="E343" s="191" t="s">
        <v>146</v>
      </c>
      <c r="F343" s="189"/>
      <c r="G343" s="190">
        <f>G344</f>
        <v>26131.2833</v>
      </c>
    </row>
    <row r="344" spans="1:7" ht="31.5">
      <c r="A344" s="187"/>
      <c r="B344" s="44" t="s">
        <v>61</v>
      </c>
      <c r="C344" s="189" t="s">
        <v>142</v>
      </c>
      <c r="D344" s="189" t="s">
        <v>8</v>
      </c>
      <c r="E344" s="191" t="s">
        <v>146</v>
      </c>
      <c r="F344" s="189" t="s">
        <v>62</v>
      </c>
      <c r="G344" s="190">
        <f>'прил 4'!G455</f>
        <v>26131.2833</v>
      </c>
    </row>
    <row r="345" spans="1:7" ht="31.5">
      <c r="A345" s="183">
        <v>10</v>
      </c>
      <c r="B345" s="165" t="s">
        <v>389</v>
      </c>
      <c r="C345" s="185" t="s">
        <v>386</v>
      </c>
      <c r="D345" s="185"/>
      <c r="E345" s="185"/>
      <c r="F345" s="185"/>
      <c r="G345" s="186">
        <f>G346</f>
        <v>500</v>
      </c>
    </row>
    <row r="346" spans="1:7" ht="15.75">
      <c r="A346" s="187"/>
      <c r="B346" s="54" t="s">
        <v>387</v>
      </c>
      <c r="C346" s="207" t="s">
        <v>386</v>
      </c>
      <c r="D346" s="207" t="s">
        <v>154</v>
      </c>
      <c r="E346" s="207"/>
      <c r="F346" s="207"/>
      <c r="G346" s="208">
        <f>G347</f>
        <v>500</v>
      </c>
    </row>
    <row r="347" spans="1:7" ht="47.25">
      <c r="A347" s="187"/>
      <c r="B347" s="87" t="s">
        <v>216</v>
      </c>
      <c r="C347" s="207" t="s">
        <v>386</v>
      </c>
      <c r="D347" s="207" t="s">
        <v>154</v>
      </c>
      <c r="E347" s="191" t="s">
        <v>155</v>
      </c>
      <c r="F347" s="209"/>
      <c r="G347" s="208">
        <f>G348</f>
        <v>500</v>
      </c>
    </row>
    <row r="348" spans="1:7" ht="63">
      <c r="A348" s="187"/>
      <c r="B348" s="48" t="s">
        <v>390</v>
      </c>
      <c r="C348" s="207" t="s">
        <v>386</v>
      </c>
      <c r="D348" s="207" t="s">
        <v>154</v>
      </c>
      <c r="E348" s="191" t="s">
        <v>391</v>
      </c>
      <c r="F348" s="209"/>
      <c r="G348" s="208">
        <f>G349</f>
        <v>500</v>
      </c>
    </row>
    <row r="349" spans="1:7" ht="15.75">
      <c r="A349" s="187"/>
      <c r="B349" s="48" t="s">
        <v>393</v>
      </c>
      <c r="C349" s="207" t="s">
        <v>386</v>
      </c>
      <c r="D349" s="207" t="s">
        <v>154</v>
      </c>
      <c r="E349" s="191" t="s">
        <v>391</v>
      </c>
      <c r="F349" s="209" t="s">
        <v>392</v>
      </c>
      <c r="G349" s="208">
        <f>'прил 4'!G93</f>
        <v>500</v>
      </c>
    </row>
    <row r="350" spans="1:8" s="6" customFormat="1" ht="15.75">
      <c r="A350" s="210"/>
      <c r="B350" s="211" t="s">
        <v>182</v>
      </c>
      <c r="C350" s="210"/>
      <c r="D350" s="210"/>
      <c r="E350" s="212"/>
      <c r="F350" s="210"/>
      <c r="G350" s="213">
        <f>G17+G125+G134+G170+G270+G289+G297+G311+G334+G345</f>
        <v>1202847.3516799998</v>
      </c>
      <c r="H350" s="140" t="s">
        <v>355</v>
      </c>
    </row>
  </sheetData>
  <sheetProtection/>
  <autoFilter ref="A15:G350"/>
  <mergeCells count="2">
    <mergeCell ref="A13:G13"/>
    <mergeCell ref="B2:G4"/>
  </mergeCells>
  <printOptions/>
  <pageMargins left="0.7086614173228347" right="0.7086614173228347" top="0.31496062992125984" bottom="0.31496062992125984" header="0.31496062992125984" footer="0.31496062992125984"/>
  <pageSetup fitToHeight="4" horizontalDpi="600" verticalDpi="600" orientation="portrait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Demchenko</dc:creator>
  <cp:keywords/>
  <dc:description/>
  <cp:lastModifiedBy>user</cp:lastModifiedBy>
  <cp:lastPrinted>2022-09-06T23:18:38Z</cp:lastPrinted>
  <dcterms:created xsi:type="dcterms:W3CDTF">2005-10-03T04:50:38Z</dcterms:created>
  <dcterms:modified xsi:type="dcterms:W3CDTF">2022-09-27T00:54:03Z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1049-10.2.0.7587</vt:lpwstr>
  </property>
</Properties>
</file>