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2210" windowHeight="9975"/>
  </bookViews>
  <sheets>
    <sheet name="Общая" sheetId="13" r:id="rId1"/>
    <sheet name="расчет" sheetId="18" r:id="rId2"/>
    <sheet name="Взносы" sheetId="26" r:id="rId3"/>
    <sheet name="з.п." sheetId="24" r:id="rId4"/>
    <sheet name="2024-2025" sheetId="27" r:id="rId5"/>
  </sheets>
  <calcPr calcId="144525"/>
</workbook>
</file>

<file path=xl/calcChain.xml><?xml version="1.0" encoding="utf-8"?>
<calcChain xmlns="http://schemas.openxmlformats.org/spreadsheetml/2006/main">
  <c r="F101" i="18" l="1"/>
  <c r="F156" i="18"/>
  <c r="F103" i="18"/>
  <c r="F168" i="18"/>
  <c r="F157" i="18"/>
  <c r="F102" i="18"/>
  <c r="F22" i="18"/>
  <c r="F34" i="18"/>
  <c r="F10" i="18"/>
  <c r="J14" i="24"/>
  <c r="I14" i="24"/>
  <c r="H14" i="24"/>
  <c r="G14" i="24"/>
  <c r="F14" i="24"/>
  <c r="E14" i="24"/>
  <c r="E26" i="24"/>
  <c r="G26" i="24" s="1"/>
  <c r="F26" i="24"/>
  <c r="H26" i="24"/>
  <c r="I26" i="24"/>
  <c r="J26" i="24"/>
  <c r="K26" i="24"/>
  <c r="L26" i="24"/>
  <c r="E179" i="18"/>
  <c r="F9" i="13" s="1"/>
  <c r="M26" i="24" l="1"/>
  <c r="O26" i="24" s="1"/>
  <c r="K14" i="24"/>
  <c r="L14" i="24"/>
  <c r="N14" i="24" s="1"/>
  <c r="M14" i="24"/>
  <c r="N26" i="24"/>
  <c r="P26" i="24" l="1"/>
  <c r="E41" i="26" s="1"/>
  <c r="B50" i="18" l="1"/>
  <c r="F6" i="27" l="1"/>
  <c r="F29" i="18" l="1"/>
  <c r="F30" i="18"/>
  <c r="G47" i="26" l="1"/>
  <c r="N29" i="26"/>
  <c r="G29" i="26"/>
  <c r="G21" i="26"/>
  <c r="G19" i="26"/>
  <c r="G13" i="26"/>
  <c r="G11" i="26"/>
  <c r="G42" i="24"/>
  <c r="F42" i="24"/>
  <c r="E42" i="24"/>
  <c r="G41" i="24"/>
  <c r="F41" i="24"/>
  <c r="E41" i="24"/>
  <c r="H41" i="24" s="1"/>
  <c r="G40" i="24"/>
  <c r="F40" i="24"/>
  <c r="E40" i="24"/>
  <c r="G39" i="24"/>
  <c r="F39" i="24"/>
  <c r="E39" i="24"/>
  <c r="G38" i="24"/>
  <c r="F38" i="24"/>
  <c r="E38" i="24"/>
  <c r="L30" i="24"/>
  <c r="K30" i="24"/>
  <c r="I30" i="24"/>
  <c r="H30" i="24"/>
  <c r="F30" i="24"/>
  <c r="E30" i="24"/>
  <c r="L29" i="24"/>
  <c r="K29" i="24"/>
  <c r="I29" i="24"/>
  <c r="H29" i="24"/>
  <c r="F29" i="24"/>
  <c r="E29" i="24"/>
  <c r="L28" i="24"/>
  <c r="K28" i="24"/>
  <c r="I28" i="24"/>
  <c r="H28" i="24"/>
  <c r="F28" i="24"/>
  <c r="E28" i="24"/>
  <c r="L25" i="24"/>
  <c r="K25" i="24"/>
  <c r="I25" i="24"/>
  <c r="H25" i="24"/>
  <c r="F25" i="24"/>
  <c r="E25" i="24"/>
  <c r="L23" i="24"/>
  <c r="L31" i="24" s="1"/>
  <c r="K23" i="24"/>
  <c r="K31" i="24" s="1"/>
  <c r="I23" i="24"/>
  <c r="I31" i="24" s="1"/>
  <c r="H23" i="24"/>
  <c r="H31" i="24" s="1"/>
  <c r="F23" i="24"/>
  <c r="F31" i="24" s="1"/>
  <c r="E23" i="24"/>
  <c r="E31" i="24" s="1"/>
  <c r="J15" i="24"/>
  <c r="I15" i="24"/>
  <c r="H15" i="24"/>
  <c r="G15" i="24"/>
  <c r="F15" i="24"/>
  <c r="E15" i="24"/>
  <c r="J13" i="24"/>
  <c r="J16" i="24" s="1"/>
  <c r="I13" i="24"/>
  <c r="I16" i="24" s="1"/>
  <c r="H13" i="24"/>
  <c r="H16" i="24" s="1"/>
  <c r="G13" i="24"/>
  <c r="G16" i="24" s="1"/>
  <c r="F13" i="24"/>
  <c r="F16" i="24" s="1"/>
  <c r="E13" i="24"/>
  <c r="E16" i="24" s="1"/>
  <c r="H39" i="24" l="1"/>
  <c r="J39" i="24" s="1"/>
  <c r="H40" i="24"/>
  <c r="L32" i="24"/>
  <c r="K32" i="24"/>
  <c r="H42" i="24"/>
  <c r="I42" i="24" s="1"/>
  <c r="G43" i="24"/>
  <c r="K15" i="24"/>
  <c r="M15" i="24" s="1"/>
  <c r="K13" i="24"/>
  <c r="L15" i="24"/>
  <c r="G23" i="24"/>
  <c r="J23" i="24"/>
  <c r="G29" i="24"/>
  <c r="M29" i="24" s="1"/>
  <c r="J29" i="24"/>
  <c r="J40" i="24"/>
  <c r="I40" i="24"/>
  <c r="G28" i="24"/>
  <c r="J28" i="24"/>
  <c r="J41" i="24"/>
  <c r="I41" i="24"/>
  <c r="E43" i="24"/>
  <c r="H38" i="24"/>
  <c r="F43" i="24"/>
  <c r="L13" i="24"/>
  <c r="L16" i="24" s="1"/>
  <c r="K17" i="24"/>
  <c r="G25" i="24"/>
  <c r="J25" i="24"/>
  <c r="G30" i="24"/>
  <c r="J30" i="24"/>
  <c r="I39" i="24"/>
  <c r="K39" i="24" s="1"/>
  <c r="L17" i="26" s="1"/>
  <c r="L15" i="26" s="1"/>
  <c r="L12" i="26" s="1"/>
  <c r="N12" i="26" s="1"/>
  <c r="G31" i="24" l="1"/>
  <c r="M13" i="24"/>
  <c r="M16" i="24" s="1"/>
  <c r="K16" i="24"/>
  <c r="L14" i="26"/>
  <c r="K15" i="26"/>
  <c r="J31" i="24"/>
  <c r="M28" i="24"/>
  <c r="N28" i="24" s="1"/>
  <c r="N15" i="26"/>
  <c r="J42" i="24"/>
  <c r="K42" i="24" s="1"/>
  <c r="L41" i="26" s="1"/>
  <c r="K41" i="24"/>
  <c r="L33" i="26" s="1"/>
  <c r="K31" i="26" s="1"/>
  <c r="K40" i="24"/>
  <c r="L25" i="26" s="1"/>
  <c r="L13" i="26"/>
  <c r="N13" i="26" s="1"/>
  <c r="O28" i="24"/>
  <c r="O29" i="24"/>
  <c r="N29" i="24"/>
  <c r="M25" i="24"/>
  <c r="N15" i="24"/>
  <c r="M30" i="24"/>
  <c r="N13" i="24"/>
  <c r="M23" i="24"/>
  <c r="M31" i="24" s="1"/>
  <c r="H43" i="24"/>
  <c r="J38" i="24"/>
  <c r="I38" i="24"/>
  <c r="I43" i="24" s="1"/>
  <c r="N16" i="24" l="1"/>
  <c r="N17" i="24"/>
  <c r="B48" i="24"/>
  <c r="D48" i="24" s="1"/>
  <c r="E16" i="26"/>
  <c r="E17" i="26" s="1"/>
  <c r="J46" i="26" s="1"/>
  <c r="L23" i="26"/>
  <c r="K23" i="26"/>
  <c r="L36" i="26"/>
  <c r="N36" i="26" s="1"/>
  <c r="L38" i="26"/>
  <c r="N38" i="26" s="1"/>
  <c r="L39" i="26"/>
  <c r="N39" i="26" s="1"/>
  <c r="K39" i="26"/>
  <c r="L31" i="26"/>
  <c r="N31" i="26" s="1"/>
  <c r="L30" i="26"/>
  <c r="N30" i="26" s="1"/>
  <c r="L28" i="26"/>
  <c r="N28" i="26" s="1"/>
  <c r="N33" i="26" s="1"/>
  <c r="P29" i="24"/>
  <c r="E49" i="26" s="1"/>
  <c r="J43" i="24"/>
  <c r="K38" i="24"/>
  <c r="K44" i="24"/>
  <c r="P28" i="24"/>
  <c r="M32" i="24"/>
  <c r="O30" i="24"/>
  <c r="N30" i="24"/>
  <c r="O23" i="24"/>
  <c r="N23" i="24"/>
  <c r="N31" i="24" s="1"/>
  <c r="B47" i="24"/>
  <c r="O25" i="24"/>
  <c r="N25" i="24"/>
  <c r="O31" i="24" l="1"/>
  <c r="K43" i="24"/>
  <c r="L8" i="26"/>
  <c r="N41" i="26"/>
  <c r="N23" i="26"/>
  <c r="L20" i="26"/>
  <c r="N20" i="26" s="1"/>
  <c r="L22" i="26"/>
  <c r="N22" i="26" s="1"/>
  <c r="L21" i="26"/>
  <c r="N21" i="26" s="1"/>
  <c r="D179" i="18"/>
  <c r="E9" i="13" s="1"/>
  <c r="E6" i="27" s="1"/>
  <c r="B49" i="18"/>
  <c r="P30" i="24"/>
  <c r="E48" i="26"/>
  <c r="E45" i="26"/>
  <c r="G45" i="26" s="1"/>
  <c r="D48" i="26"/>
  <c r="P23" i="24"/>
  <c r="P25" i="24"/>
  <c r="E32" i="26" s="1"/>
  <c r="E33" i="26" s="1"/>
  <c r="E14" i="26"/>
  <c r="G14" i="26" s="1"/>
  <c r="L46" i="26"/>
  <c r="D49" i="18" s="1"/>
  <c r="E12" i="26"/>
  <c r="G12" i="26" s="1"/>
  <c r="D47" i="24"/>
  <c r="N25" i="26" l="1"/>
  <c r="E24" i="26"/>
  <c r="E22" i="26" s="1"/>
  <c r="G22" i="26" s="1"/>
  <c r="P31" i="24"/>
  <c r="P32" i="24"/>
  <c r="L3" i="26"/>
  <c r="N3" i="26" s="1"/>
  <c r="K6" i="26"/>
  <c r="L6" i="26"/>
  <c r="E20" i="26"/>
  <c r="G20" i="26" s="1"/>
  <c r="G24" i="26" s="1"/>
  <c r="G48" i="26"/>
  <c r="E46" i="26"/>
  <c r="G46" i="26" s="1"/>
  <c r="C179" i="18"/>
  <c r="C9" i="13"/>
  <c r="B48" i="18"/>
  <c r="J47" i="26"/>
  <c r="L47" i="26" s="1"/>
  <c r="D50" i="18" s="1"/>
  <c r="E39" i="26"/>
  <c r="G36" i="26"/>
  <c r="D39" i="26"/>
  <c r="E38" i="26"/>
  <c r="G38" i="26" s="1"/>
  <c r="E30" i="26"/>
  <c r="E27" i="26"/>
  <c r="G27" i="26" s="1"/>
  <c r="D30" i="26"/>
  <c r="B49" i="24"/>
  <c r="B50" i="24" s="1"/>
  <c r="D50" i="24" s="1"/>
  <c r="G16" i="26"/>
  <c r="G17" i="26" l="1"/>
  <c r="K46" i="26" s="1"/>
  <c r="C49" i="18" s="1"/>
  <c r="N6" i="26"/>
  <c r="L5" i="26"/>
  <c r="N5" i="26" s="1"/>
  <c r="L4" i="26"/>
  <c r="N4" i="26" s="1"/>
  <c r="N8" i="26"/>
  <c r="G49" i="26"/>
  <c r="F179" i="18"/>
  <c r="D9" i="13"/>
  <c r="D6" i="27" s="1"/>
  <c r="C6" i="27"/>
  <c r="G39" i="26"/>
  <c r="G37" i="26"/>
  <c r="G30" i="26"/>
  <c r="E28" i="26"/>
  <c r="G28" i="26" s="1"/>
  <c r="M46" i="26"/>
  <c r="J45" i="26"/>
  <c r="G32" i="26" l="1"/>
  <c r="G33" i="26" s="1"/>
  <c r="G41" i="26"/>
  <c r="D181" i="18"/>
  <c r="E11" i="13" s="1"/>
  <c r="G8" i="26"/>
  <c r="K45" i="26" s="1"/>
  <c r="C48" i="18" s="1"/>
  <c r="L45" i="26"/>
  <c r="J49" i="26"/>
  <c r="F18" i="27"/>
  <c r="G18" i="27" s="1"/>
  <c r="G11" i="27"/>
  <c r="J11" i="27" s="1"/>
  <c r="K11" i="27" s="1"/>
  <c r="L11" i="27" s="1"/>
  <c r="G63" i="18"/>
  <c r="F31" i="18"/>
  <c r="F173" i="18"/>
  <c r="F148" i="18"/>
  <c r="F146" i="18"/>
  <c r="F147" i="18"/>
  <c r="F149" i="18"/>
  <c r="F145" i="18"/>
  <c r="F111" i="18"/>
  <c r="F11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2" i="18"/>
  <c r="F121" i="18"/>
  <c r="F98" i="18"/>
  <c r="F35" i="18"/>
  <c r="F41" i="18" s="1"/>
  <c r="F23" i="18"/>
  <c r="E41" i="18" s="1"/>
  <c r="F174" i="18" l="1"/>
  <c r="E185" i="18" s="1"/>
  <c r="F140" i="18"/>
  <c r="F150" i="18"/>
  <c r="F123" i="18"/>
  <c r="L49" i="26"/>
  <c r="D48" i="18"/>
  <c r="F160" i="18"/>
  <c r="F161" i="18" s="1"/>
  <c r="M45" i="26"/>
  <c r="F23" i="13"/>
  <c r="J18" i="27"/>
  <c r="F18" i="13" l="1"/>
  <c r="F141" i="18"/>
  <c r="K18" i="27"/>
  <c r="L18" i="27" s="1"/>
  <c r="F20" i="27"/>
  <c r="G20" i="27" s="1"/>
  <c r="J20" i="27" s="1"/>
  <c r="K20" i="27" s="1"/>
  <c r="L20" i="27" s="1"/>
  <c r="C181" i="18"/>
  <c r="C11" i="13"/>
  <c r="D11" i="13" s="1"/>
  <c r="G18" i="13"/>
  <c r="J18" i="13" s="1"/>
  <c r="F19" i="13"/>
  <c r="F16" i="27" s="1"/>
  <c r="G16" i="27" s="1"/>
  <c r="J16" i="27" s="1"/>
  <c r="K16" i="27" s="1"/>
  <c r="L16" i="27" s="1"/>
  <c r="F15" i="27" l="1"/>
  <c r="G15" i="27" s="1"/>
  <c r="J15" i="27" s="1"/>
  <c r="K15" i="27" s="1"/>
  <c r="L15" i="27" s="1"/>
  <c r="F21" i="13" l="1"/>
  <c r="F24" i="18"/>
  <c r="E42" i="18" s="1"/>
  <c r="E43" i="18" l="1"/>
  <c r="F25" i="18"/>
  <c r="G9" i="13"/>
  <c r="J9" i="13" s="1"/>
  <c r="G6" i="27" l="1"/>
  <c r="J6" i="27" s="1"/>
  <c r="L6" i="27" l="1"/>
  <c r="K6" i="27"/>
  <c r="F36" i="18"/>
  <c r="F42" i="18" s="1"/>
  <c r="F37" i="18" l="1"/>
  <c r="F43" i="18"/>
  <c r="F100" i="18"/>
  <c r="F112" i="18"/>
  <c r="D51" i="18" l="1"/>
  <c r="E49" i="18"/>
  <c r="E48" i="18"/>
  <c r="E8" i="27" l="1"/>
  <c r="C8" i="27"/>
  <c r="D8" i="27" l="1"/>
  <c r="G21" i="13"/>
  <c r="J21" i="13" l="1"/>
  <c r="D40" i="18"/>
  <c r="C180" i="18" l="1"/>
  <c r="C186" i="18" s="1"/>
  <c r="C10" i="13"/>
  <c r="C7" i="27" s="1"/>
  <c r="F99" i="18"/>
  <c r="D7" i="27" l="1"/>
  <c r="D5" i="27" s="1"/>
  <c r="D21" i="27" s="1"/>
  <c r="C5" i="27"/>
  <c r="C21" i="27" s="1"/>
  <c r="F85" i="18"/>
  <c r="F107" i="18" l="1"/>
  <c r="F106" i="18"/>
  <c r="F172" i="18" l="1"/>
  <c r="E183" i="18" s="1"/>
  <c r="F11" i="18"/>
  <c r="F87" i="18" l="1"/>
  <c r="F86" i="18"/>
  <c r="F16" i="18"/>
  <c r="G14" i="13" l="1"/>
  <c r="J14" i="13" s="1"/>
  <c r="F169" i="18"/>
  <c r="F109" i="18"/>
  <c r="F108" i="18"/>
  <c r="F104" i="18"/>
  <c r="F97" i="18"/>
  <c r="F89" i="18"/>
  <c r="F88" i="18"/>
  <c r="F78" i="18"/>
  <c r="F79" i="18" s="1"/>
  <c r="F15" i="13" s="1"/>
  <c r="F12" i="27" s="1"/>
  <c r="G69" i="18"/>
  <c r="G68" i="18"/>
  <c r="G67" i="18"/>
  <c r="G66" i="18"/>
  <c r="G65" i="18"/>
  <c r="G64" i="18"/>
  <c r="G62" i="18"/>
  <c r="G61" i="18"/>
  <c r="G70" i="18" s="1"/>
  <c r="F15" i="18"/>
  <c r="F13" i="18"/>
  <c r="C8" i="13"/>
  <c r="C24" i="13" s="1"/>
  <c r="F90" i="18" l="1"/>
  <c r="F16" i="13" s="1"/>
  <c r="F18" i="18"/>
  <c r="C42" i="18"/>
  <c r="F13" i="13"/>
  <c r="F91" i="18"/>
  <c r="G71" i="18"/>
  <c r="D42" i="18"/>
  <c r="E180" i="18" s="1"/>
  <c r="C41" i="18"/>
  <c r="G12" i="27"/>
  <c r="J12" i="27" s="1"/>
  <c r="K12" i="27" s="1"/>
  <c r="L12" i="27" s="1"/>
  <c r="G15" i="13"/>
  <c r="J15" i="13" s="1"/>
  <c r="F170" i="18"/>
  <c r="D8" i="13"/>
  <c r="F10" i="13" l="1"/>
  <c r="F175" i="18"/>
  <c r="F22" i="13"/>
  <c r="F7" i="27"/>
  <c r="D41" i="18"/>
  <c r="C43" i="18"/>
  <c r="D44" i="18" s="1"/>
  <c r="E184" i="18"/>
  <c r="F184" i="18" s="1"/>
  <c r="F185" i="18"/>
  <c r="C39" i="18"/>
  <c r="D24" i="13"/>
  <c r="F183" i="18"/>
  <c r="F19" i="27" l="1"/>
  <c r="F20" i="13"/>
  <c r="G16" i="13"/>
  <c r="J16" i="13" s="1"/>
  <c r="F13" i="27"/>
  <c r="G13" i="27" s="1"/>
  <c r="J13" i="27" s="1"/>
  <c r="K13" i="27" s="1"/>
  <c r="L13" i="27" s="1"/>
  <c r="D180" i="18"/>
  <c r="E10" i="13" s="1"/>
  <c r="D43" i="18"/>
  <c r="F10" i="27"/>
  <c r="G19" i="13"/>
  <c r="J19" i="13" s="1"/>
  <c r="G23" i="13"/>
  <c r="G22" i="13"/>
  <c r="D186" i="18" l="1"/>
  <c r="F180" i="18"/>
  <c r="G19" i="27"/>
  <c r="F17" i="27"/>
  <c r="E7" i="27"/>
  <c r="G10" i="13"/>
  <c r="J10" i="13" s="1"/>
  <c r="E8" i="13"/>
  <c r="E24" i="13" s="1"/>
  <c r="J23" i="13"/>
  <c r="G20" i="13"/>
  <c r="G10" i="27"/>
  <c r="G13" i="13"/>
  <c r="J13" i="13" s="1"/>
  <c r="J22" i="13"/>
  <c r="J19" i="27" l="1"/>
  <c r="G17" i="27"/>
  <c r="J20" i="13"/>
  <c r="E5" i="27"/>
  <c r="E21" i="27" s="1"/>
  <c r="G7" i="27"/>
  <c r="J10" i="27"/>
  <c r="K10" i="27" s="1"/>
  <c r="K19" i="27" l="1"/>
  <c r="L19" i="27" s="1"/>
  <c r="L17" i="27" s="1"/>
  <c r="J17" i="27"/>
  <c r="K17" i="27" s="1"/>
  <c r="J7" i="27"/>
  <c r="L10" i="27"/>
  <c r="K7" i="27" l="1"/>
  <c r="L7" i="27" l="1"/>
  <c r="N14" i="26"/>
  <c r="N17" i="26" s="1"/>
  <c r="K47" i="26" s="1"/>
  <c r="C50" i="18" l="1"/>
  <c r="K49" i="26"/>
  <c r="M47" i="26"/>
  <c r="E50" i="18" l="1"/>
  <c r="E51" i="18" s="1"/>
  <c r="C51" i="18"/>
  <c r="E52" i="18" s="1"/>
  <c r="M49" i="26"/>
  <c r="F11" i="13"/>
  <c r="E181" i="18"/>
  <c r="F181" i="18" l="1"/>
  <c r="F8" i="13"/>
  <c r="F8" i="27"/>
  <c r="G11" i="13"/>
  <c r="J11" i="13" l="1"/>
  <c r="G8" i="13"/>
  <c r="G8" i="27"/>
  <c r="F5" i="27"/>
  <c r="J8" i="13" l="1"/>
  <c r="J4" i="13"/>
  <c r="G5" i="27"/>
  <c r="J8" i="27"/>
  <c r="J5" i="27" l="1"/>
  <c r="K8" i="27"/>
  <c r="L8" i="27" l="1"/>
  <c r="L5" i="27" s="1"/>
  <c r="K5" i="27"/>
  <c r="F114" i="18"/>
  <c r="E182" i="18" s="1"/>
  <c r="E186" i="18" s="1"/>
  <c r="F113" i="18"/>
  <c r="G56" i="18" s="1"/>
  <c r="F17" i="13" l="1"/>
  <c r="F12" i="13" s="1"/>
  <c r="F182" i="18"/>
  <c r="F186" i="18" s="1"/>
  <c r="G12" i="13" l="1"/>
  <c r="F24" i="13"/>
  <c r="G25" i="13" s="1"/>
  <c r="F14" i="27"/>
  <c r="F9" i="27" s="1"/>
  <c r="F21" i="27" s="1"/>
  <c r="G22" i="27" s="1"/>
  <c r="G17" i="13"/>
  <c r="J17" i="13" s="1"/>
  <c r="J12" i="13" l="1"/>
  <c r="J24" i="13" s="1"/>
  <c r="G24" i="13"/>
  <c r="J25" i="13" s="1"/>
  <c r="G14" i="27"/>
  <c r="J14" i="27" s="1"/>
  <c r="K14" i="27" s="1"/>
  <c r="G9" i="27" l="1"/>
  <c r="J9" i="27" s="1"/>
  <c r="J21" i="27" s="1"/>
  <c r="L14" i="27"/>
  <c r="L9" i="27" s="1"/>
  <c r="L21" i="27" s="1"/>
  <c r="K9" i="27"/>
  <c r="K21" i="27" s="1"/>
  <c r="G21" i="27" l="1"/>
</calcChain>
</file>

<file path=xl/sharedStrings.xml><?xml version="1.0" encoding="utf-8"?>
<sst xmlns="http://schemas.openxmlformats.org/spreadsheetml/2006/main" count="626" uniqueCount="266">
  <si>
    <t>Собрание депутатов Елизовского городского поселения</t>
  </si>
  <si>
    <t>ст. 211 "Заработная плата"</t>
  </si>
  <si>
    <t>Должность</t>
  </si>
  <si>
    <t>Район.к-т</t>
  </si>
  <si>
    <t>Всего</t>
  </si>
  <si>
    <t>Код</t>
  </si>
  <si>
    <t>оклад</t>
  </si>
  <si>
    <t>Зам. Председателя</t>
  </si>
  <si>
    <t>Начальник орг.отд.</t>
  </si>
  <si>
    <t>Начальник анал.от.</t>
  </si>
  <si>
    <t>Начальник бух.от.</t>
  </si>
  <si>
    <t xml:space="preserve">Расчет ФОТ для лиц, замещающих муниципальные должности    </t>
  </si>
  <si>
    <t>Выслуга</t>
  </si>
  <si>
    <t>Премия</t>
  </si>
  <si>
    <t>Водитель (5 раз.)</t>
  </si>
  <si>
    <t>Итого кат. Б;В</t>
  </si>
  <si>
    <t>Сев.над.</t>
  </si>
  <si>
    <t>Итого</t>
  </si>
  <si>
    <t>Руков.аппарата</t>
  </si>
  <si>
    <t>Итого кат. А</t>
  </si>
  <si>
    <t>Окладов</t>
  </si>
  <si>
    <t>4окл.</t>
  </si>
  <si>
    <t>12окл.</t>
  </si>
  <si>
    <t>24окл.</t>
  </si>
  <si>
    <t>Особ.усл.</t>
  </si>
  <si>
    <t>3окл.</t>
  </si>
  <si>
    <t>Мат.пом.</t>
  </si>
  <si>
    <t xml:space="preserve"> Окладов</t>
  </si>
  <si>
    <t xml:space="preserve">Премия </t>
  </si>
  <si>
    <t>Сумма</t>
  </si>
  <si>
    <t>Итого:</t>
  </si>
  <si>
    <t>Проезд в отпуск</t>
  </si>
  <si>
    <t>Наименование</t>
  </si>
  <si>
    <t>Ед. измер.</t>
  </si>
  <si>
    <t>Кол-во</t>
  </si>
  <si>
    <t>Цена</t>
  </si>
  <si>
    <t>руб.</t>
  </si>
  <si>
    <t>Сумма мес.</t>
  </si>
  <si>
    <t>Сумма год</t>
  </si>
  <si>
    <t>Суточные в командировке</t>
  </si>
  <si>
    <t>Налогооблагаемая база</t>
  </si>
  <si>
    <t>Ед. изм.</t>
  </si>
  <si>
    <t>шт.</t>
  </si>
  <si>
    <t>Ед.изм.</t>
  </si>
  <si>
    <t>Проезд в командировку до г. Москва</t>
  </si>
  <si>
    <t>мес.</t>
  </si>
  <si>
    <t>кв.</t>
  </si>
  <si>
    <t>мин.</t>
  </si>
  <si>
    <t>дн.</t>
  </si>
  <si>
    <t>Зап. части к машине</t>
  </si>
  <si>
    <t>л.</t>
  </si>
  <si>
    <t>Аптечка</t>
  </si>
  <si>
    <t>Картриджи к принтерам</t>
  </si>
  <si>
    <t>Поздравительные открытки</t>
  </si>
  <si>
    <t xml:space="preserve">Мат.пом. </t>
  </si>
  <si>
    <t>0.5окл.</t>
  </si>
  <si>
    <t>Денеж.</t>
  </si>
  <si>
    <t>поощр.</t>
  </si>
  <si>
    <t>размер</t>
  </si>
  <si>
    <t>к отп.3окл.</t>
  </si>
  <si>
    <t xml:space="preserve">ед. вып. </t>
  </si>
  <si>
    <t>гос. т.</t>
  </si>
  <si>
    <t>1.5окл.</t>
  </si>
  <si>
    <t>отпуск</t>
  </si>
  <si>
    <t>год</t>
  </si>
  <si>
    <t>12 окл.</t>
  </si>
  <si>
    <t>Рацон.к-т</t>
  </si>
  <si>
    <t>Ед.выпл.</t>
  </si>
  <si>
    <t>Надбавка</t>
  </si>
  <si>
    <t>Расчет ФОТ для лиц замещающих муниципальные должности муниципальной службы</t>
  </si>
  <si>
    <t>Расчет ФОТ для лиц, не замещающих муниципальные должности муниципальной службы</t>
  </si>
  <si>
    <t>База</t>
  </si>
  <si>
    <t>Зам. председ.</t>
  </si>
  <si>
    <t>Руковод. аппар.</t>
  </si>
  <si>
    <t>Начальник отд.</t>
  </si>
  <si>
    <t>Водитель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</si>
  <si>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</si>
  <si>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</si>
  <si>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</si>
  <si>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</si>
  <si>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</si>
  <si>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</si>
  <si>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</si>
  <si>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</si>
  <si>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</si>
  <si>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</si>
  <si>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Наименование статьи</t>
  </si>
  <si>
    <t>ИТОГО</t>
  </si>
  <si>
    <t>Денежное поощрение</t>
  </si>
  <si>
    <t>Рук. Ап.</t>
  </si>
  <si>
    <t>Бухгалтер 1 категории</t>
  </si>
  <si>
    <t>Крмпенс-е</t>
  </si>
  <si>
    <t>выплаты</t>
  </si>
  <si>
    <t>Стимулир-е</t>
  </si>
  <si>
    <t>Бухгалтер 1к</t>
  </si>
  <si>
    <t xml:space="preserve">ИТОГО </t>
  </si>
  <si>
    <t xml:space="preserve">КФКР </t>
  </si>
  <si>
    <t>ВСЕГО</t>
  </si>
  <si>
    <t>ППП 911</t>
  </si>
  <si>
    <t>Оплата труда и нач-я на выплаты по оплате труда</t>
  </si>
  <si>
    <t>Расчет взносов</t>
  </si>
  <si>
    <t>Процент</t>
  </si>
  <si>
    <t>НПЗ</t>
  </si>
  <si>
    <t>ФИО</t>
  </si>
  <si>
    <t>Направление</t>
  </si>
  <si>
    <t>Количество</t>
  </si>
  <si>
    <t>Стоимость</t>
  </si>
  <si>
    <t>билетов</t>
  </si>
  <si>
    <t>сут.</t>
  </si>
  <si>
    <t>Стр. взносы</t>
  </si>
  <si>
    <t>НС И ПЗ</t>
  </si>
  <si>
    <t>Пересылка почтовых отправлений</t>
  </si>
  <si>
    <t>Цветные картриджи</t>
  </si>
  <si>
    <t>4910100</t>
  </si>
  <si>
    <t>КВР</t>
  </si>
  <si>
    <t>КФКР 0102</t>
  </si>
  <si>
    <t>КФКР 0103</t>
  </si>
  <si>
    <t>свыше</t>
  </si>
  <si>
    <t>Взносы</t>
  </si>
  <si>
    <t>Советник председателя</t>
  </si>
  <si>
    <t>Советник</t>
  </si>
  <si>
    <t>Зам. пр.</t>
  </si>
  <si>
    <t>Нач.отд.</t>
  </si>
  <si>
    <t>Советник пр.</t>
  </si>
  <si>
    <t>Советник пред.</t>
  </si>
  <si>
    <t>Технический осмотр автомобиля</t>
  </si>
  <si>
    <t>комп.</t>
  </si>
  <si>
    <t xml:space="preserve">Налог на имущество </t>
  </si>
  <si>
    <t>1004</t>
  </si>
  <si>
    <t>1001</t>
  </si>
  <si>
    <t>Аналитик 1 категории</t>
  </si>
  <si>
    <t>Аналитик 1к</t>
  </si>
  <si>
    <t>ФСС РФ</t>
  </si>
  <si>
    <t>ФФОМС</t>
  </si>
  <si>
    <t>ПФР</t>
  </si>
  <si>
    <t>Почтовые конверты средние маркированные</t>
  </si>
  <si>
    <t>Почтовые конверты большие маркированные</t>
  </si>
  <si>
    <t>з/п с нач.</t>
  </si>
  <si>
    <t>Особ. Усл.</t>
  </si>
  <si>
    <t>30%*12</t>
  </si>
  <si>
    <t>на</t>
  </si>
  <si>
    <t>кв</t>
  </si>
  <si>
    <t>Бухгалтер I категории</t>
  </si>
  <si>
    <t>Налог на имущество</t>
  </si>
  <si>
    <t>Транспортный налог</t>
  </si>
  <si>
    <t>Глава ЕГП-Председатель</t>
  </si>
  <si>
    <t>18 окл.</t>
  </si>
  <si>
    <t>28 окл.</t>
  </si>
  <si>
    <t>10050</t>
  </si>
  <si>
    <t>10040</t>
  </si>
  <si>
    <t>10010</t>
  </si>
  <si>
    <t>221 " Услуги связи "</t>
  </si>
  <si>
    <t>224 " Арендная плата за пользование имуществом "</t>
  </si>
  <si>
    <t xml:space="preserve"> 225 " Услуги по содержанию имущества "</t>
  </si>
  <si>
    <t>226 " Прочие услуги "</t>
  </si>
  <si>
    <t>310 " Увеличение стоимости основных средств "</t>
  </si>
  <si>
    <t>340 " Увеличение стоимости материальных запасов "</t>
  </si>
  <si>
    <t>Автомойка ( 4*800.00=3200.00)</t>
  </si>
  <si>
    <t>Затраты на техническое обслуживание и ремонт транспортных средств (определяются по фактическим затратам).</t>
  </si>
  <si>
    <t>час</t>
  </si>
  <si>
    <t xml:space="preserve">Расход по найму жил.пом. в командировке </t>
  </si>
  <si>
    <t>СМИ 'Выпуск в эфир теле прод-и первичный (1мин.-7680,00 руб.)</t>
  </si>
  <si>
    <t>Туба с тонером на копир. аппарат</t>
  </si>
  <si>
    <t>Картриджи к копир. автомату (МФУ)</t>
  </si>
  <si>
    <t>Канцтовары ( расчет  )</t>
  </si>
  <si>
    <t>Тряпка для пола/мебели/стекол</t>
  </si>
  <si>
    <t>Перчатки ПВХ</t>
  </si>
  <si>
    <t>Мыло жидкое (средво д/мытья)</t>
  </si>
  <si>
    <t>литр</t>
  </si>
  <si>
    <t>Масло моторное  (2 полуг.*6.5л=13,0л.)</t>
  </si>
  <si>
    <t>Компакт-диск</t>
  </si>
  <si>
    <t>Транспортный налог л/с134,6</t>
  </si>
  <si>
    <t>Заправка картриджей (9шт.*600=5400,00)</t>
  </si>
  <si>
    <t>СМИ Выпуск в эфир теле прод-и повторный (1 мин.-6620,00 руб.)</t>
  </si>
  <si>
    <t>Ведущий инспектор</t>
  </si>
  <si>
    <t>Ведущий инс-р</t>
  </si>
  <si>
    <t>Фонд</t>
  </si>
  <si>
    <t>всего</t>
  </si>
  <si>
    <t>Всего:</t>
  </si>
  <si>
    <t>Советник спец.к/а.от.</t>
  </si>
  <si>
    <t>Всего ст.214</t>
  </si>
  <si>
    <t>122 "Иные выплаты"</t>
  </si>
  <si>
    <t xml:space="preserve"> 129 "Начисления на оплату труда"</t>
  </si>
  <si>
    <t>ср. ст. недв. им-а</t>
  </si>
  <si>
    <t>850 " Уплата налогов, сборов и иных платежей "</t>
  </si>
  <si>
    <t>244 "Прочая закупка товаров, работ и услуг"</t>
  </si>
  <si>
    <t>343 "Увеличение ст-ти горюче-смазочных материалов"</t>
  </si>
  <si>
    <t>346 "Увеличение стоимости прочих оборотных</t>
  </si>
  <si>
    <t xml:space="preserve"> запасов (материалов)"</t>
  </si>
  <si>
    <t xml:space="preserve">Фоторамка к грамотам, благодарнастям, приветственным адресам </t>
  </si>
  <si>
    <t>Диспансеризация</t>
  </si>
  <si>
    <t>усл.</t>
  </si>
  <si>
    <t>запасов однократного применения"</t>
  </si>
  <si>
    <t xml:space="preserve">349 "Увеличение стоимости прочих материальных </t>
  </si>
  <si>
    <t>Сувенирная продукция: панно</t>
  </si>
  <si>
    <t>Сувенирная продукция: настольный прибор</t>
  </si>
  <si>
    <t>Иные платежи</t>
  </si>
  <si>
    <t>Представительские расходы(цветы: гвоздика 30шт.*100=3000,00; роза 20 шт*300=6000,00; букет 5*2700,00=13500,00)  22500,00</t>
  </si>
  <si>
    <t>Прочаяя закупка товаров, работ, услуг</t>
  </si>
  <si>
    <t xml:space="preserve">Уплата налогов, сборов и иных платежей </t>
  </si>
  <si>
    <t>к-т</t>
  </si>
  <si>
    <t xml:space="preserve">                        Собрание депутатов Елизовского городского поселения</t>
  </si>
  <si>
    <t>Сочи</t>
  </si>
  <si>
    <t>Симферополь</t>
  </si>
  <si>
    <t>Краснодар</t>
  </si>
  <si>
    <t>Аналитик I  категории</t>
  </si>
  <si>
    <t>ст.226</t>
  </si>
  <si>
    <t xml:space="preserve"> ст.212</t>
  </si>
  <si>
    <t xml:space="preserve">Интернет </t>
  </si>
  <si>
    <t>Сотовая связь 1 номер (1500 минут, 1,5 Гбинтернет,15000 смс)=1144,00 руб.</t>
  </si>
  <si>
    <t>Местные телефонные соединения (2номера*600,00=1200,00)</t>
  </si>
  <si>
    <t>Предоставление внутризоновых соединений 2500,00</t>
  </si>
  <si>
    <t>Междугородные телефонные соединения (2*500,00=1000,00)</t>
  </si>
  <si>
    <t>Аренда помещения (124,92 кв.м.*983,07=122805,10)</t>
  </si>
  <si>
    <t xml:space="preserve">1С обслуживание за рамками ИТС </t>
  </si>
  <si>
    <t>Печать СМИ (депутаты (750,00см. кв*19,76=14820,00*20=296400,00)</t>
  </si>
  <si>
    <t>СМИ Размещение инфор. в газете (1250,00 см.кв.*19,76руб.=24700,00)</t>
  </si>
  <si>
    <t>Всего 122</t>
  </si>
  <si>
    <t>Специалист СМИ 1к.</t>
  </si>
  <si>
    <t>Спец-т СМИ 1к</t>
  </si>
  <si>
    <t>Основной телефон (2 номера  811.20)</t>
  </si>
  <si>
    <t>Тех. Обслуживание орг. Техники (ремонт, замена фотовала (9шт.*800,00=7200,00)</t>
  </si>
  <si>
    <t>Бланки грамот с папкой</t>
  </si>
  <si>
    <t xml:space="preserve">Советник </t>
  </si>
  <si>
    <t>Специалист СМИ I категории</t>
  </si>
  <si>
    <t>Зам. рук. Ап.</t>
  </si>
  <si>
    <t>За 2 ед.</t>
  </si>
  <si>
    <t>Расчет к 'смете расходов на 2023 год</t>
  </si>
  <si>
    <t>2023г.</t>
  </si>
  <si>
    <t>Расчет к смете 2023г.</t>
  </si>
  <si>
    <t>2023 год</t>
  </si>
  <si>
    <t>до 1032000</t>
  </si>
  <si>
    <t>до 1565000</t>
  </si>
  <si>
    <t>Председатель</t>
  </si>
  <si>
    <t>За 3 ед.</t>
  </si>
  <si>
    <t>до1032000</t>
  </si>
  <si>
    <t>до1565000</t>
  </si>
  <si>
    <t>до1 565000</t>
  </si>
  <si>
    <t>билета 55 000,00/27 500,00 (дети)</t>
  </si>
  <si>
    <t>2/1</t>
  </si>
  <si>
    <t>55000/27500</t>
  </si>
  <si>
    <t>Заместитель председателя (один взр.+ дети 16 и 6 лет)</t>
  </si>
  <si>
    <t>Руководитель аппарата (один взр.+ дети 13 и 2 лет)</t>
  </si>
  <si>
    <t>Начальник отдела (один взр.+ ребенок 9 лет)</t>
  </si>
  <si>
    <t>1/1</t>
  </si>
  <si>
    <t>Начальник отдела (один взр.)</t>
  </si>
  <si>
    <t>1</t>
  </si>
  <si>
    <t>Ведущий инспектор (взр.+ ребенок 11 лет)</t>
  </si>
  <si>
    <t>Водитель (один взр.+ ребенок 9 лет)</t>
  </si>
  <si>
    <t>Услуги по обслуживанию компьютерной техники и лококальной сети( месяц)</t>
  </si>
  <si>
    <t xml:space="preserve">Обслуживание Консультант 1 мес.(15172,99), Гарант 1 мес. (19137,00) </t>
  </si>
  <si>
    <t>Антивирусная программа Касперский (10 польз.) (1*16270*1,04=16920,8)</t>
  </si>
  <si>
    <t>Компьютер в сборе</t>
  </si>
  <si>
    <t>Принтер</t>
  </si>
  <si>
    <t>Офисные кресла</t>
  </si>
  <si>
    <t>Кондиционер ( зал заседаний)</t>
  </si>
  <si>
    <t>Уплата госпошлины</t>
  </si>
  <si>
    <t>Веснин- кадры (1*12150,00)</t>
  </si>
  <si>
    <t>Предрейсовый и послерейсовыйс осмотр осмотр водителя (1водитель*192дн.*164,00=31488*2=62976,00)</t>
  </si>
  <si>
    <t>Программа для передачи налоговой отчетности Контур(1*17111,00=17111,00)*1,04=17795</t>
  </si>
  <si>
    <t>ИТС 1С (1*56416)</t>
  </si>
  <si>
    <t>Продление права использования Касперский на 1 год (10*1692,00)</t>
  </si>
  <si>
    <t>Страхование тр/средства  (7414,00)</t>
  </si>
  <si>
    <t>ГСМ(247 раб. дн.-55 раб.дн. отпуска=192 раб.дн.*100км/1дн.=(192000км*15,5)/100=2976л  56,32</t>
  </si>
  <si>
    <t>аппарат</t>
  </si>
  <si>
    <t>Уплата прочих налогов, сборов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</si>
</sst>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??_р_._-;_-@_-"/>
    <numFmt numFmtId="165" formatCode="0.0"/>
    <numFmt numFmtId="166" formatCode="0.0%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7"/>
      <name val="Arial Cyr"/>
      <charset val="204"/>
    </font>
    <font>
      <sz val="7"/>
      <name val="Arial Cyr"/>
      <charset val="204"/>
    </font>
    <font>
      <i/>
      <sz val="7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b/>
      <sz val="12"/>
      <name val="Arial Cyr"/>
      <charset val="204"/>
    </font>
    <font>
      <b/>
      <i/>
      <sz val="7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1" xfId="0" quotePrefix="1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0" fillId="0" borderId="0" xfId="0" applyBorder="1"/>
    <xf numFmtId="2" fontId="2" fillId="0" borderId="0" xfId="0" applyNumberFormat="1" applyFont="1" applyBorder="1"/>
    <xf numFmtId="0" fontId="2" fillId="0" borderId="0" xfId="0" applyFont="1" applyBorder="1"/>
    <xf numFmtId="0" fontId="2" fillId="0" borderId="0" xfId="0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1" fillId="0" borderId="0" xfId="0" applyNumberFormat="1" applyFont="1" applyBorder="1"/>
    <xf numFmtId="1" fontId="0" fillId="0" borderId="1" xfId="0" applyNumberFormat="1" applyBorder="1"/>
    <xf numFmtId="1" fontId="0" fillId="0" borderId="0" xfId="0" applyNumberFormat="1"/>
    <xf numFmtId="1" fontId="2" fillId="0" borderId="1" xfId="0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2" fontId="2" fillId="0" borderId="0" xfId="0" applyNumberFormat="1" applyFont="1"/>
    <xf numFmtId="0" fontId="0" fillId="0" borderId="1" xfId="0" applyFont="1" applyBorder="1"/>
    <xf numFmtId="2" fontId="0" fillId="0" borderId="1" xfId="0" applyNumberFormat="1" applyFont="1" applyBorder="1"/>
    <xf numFmtId="0" fontId="0" fillId="0" borderId="0" xfId="0" applyFont="1"/>
    <xf numFmtId="0" fontId="12" fillId="0" borderId="1" xfId="0" applyFont="1" applyBorder="1"/>
    <xf numFmtId="1" fontId="3" fillId="0" borderId="0" xfId="0" applyNumberFormat="1" applyFont="1"/>
    <xf numFmtId="1" fontId="3" fillId="0" borderId="0" xfId="0" applyNumberFormat="1" applyFont="1" applyBorder="1"/>
    <xf numFmtId="0" fontId="4" fillId="0" borderId="0" xfId="0" applyFont="1" applyAlignment="1"/>
    <xf numFmtId="0" fontId="4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quotePrefix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1" fontId="5" fillId="0" borderId="4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1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2" fontId="8" fillId="0" borderId="0" xfId="0" quotePrefix="1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9" fontId="4" fillId="0" borderId="1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2" fontId="5" fillId="0" borderId="4" xfId="0" quotePrefix="1" applyNumberFormat="1" applyFont="1" applyBorder="1" applyAlignment="1">
      <alignment horizontal="left"/>
    </xf>
    <xf numFmtId="2" fontId="5" fillId="0" borderId="1" xfId="0" quotePrefix="1" applyNumberFormat="1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3" fillId="0" borderId="1" xfId="0" applyNumberFormat="1" applyFont="1" applyBorder="1"/>
    <xf numFmtId="1" fontId="1" fillId="0" borderId="0" xfId="0" applyNumberFormat="1" applyFont="1" applyBorder="1"/>
    <xf numFmtId="0" fontId="2" fillId="0" borderId="0" xfId="0" applyFont="1" applyFill="1" applyBorder="1"/>
    <xf numFmtId="0" fontId="8" fillId="0" borderId="1" xfId="0" applyFont="1" applyBorder="1"/>
    <xf numFmtId="49" fontId="7" fillId="0" borderId="4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9" fontId="4" fillId="0" borderId="3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0" fontId="0" fillId="0" borderId="0" xfId="0" applyFont="1" applyBorder="1"/>
    <xf numFmtId="1" fontId="0" fillId="0" borderId="0" xfId="0" applyNumberFormat="1" applyFont="1"/>
    <xf numFmtId="0" fontId="2" fillId="0" borderId="3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15" fillId="0" borderId="0" xfId="0" applyNumberFormat="1" applyFont="1"/>
    <xf numFmtId="1" fontId="0" fillId="0" borderId="1" xfId="0" applyNumberFormat="1" applyFont="1" applyBorder="1" applyAlignment="1">
      <alignment horizontal="right"/>
    </xf>
    <xf numFmtId="1" fontId="12" fillId="0" borderId="1" xfId="0" applyNumberFormat="1" applyFont="1" applyBorder="1"/>
    <xf numFmtId="1" fontId="13" fillId="0" borderId="1" xfId="0" applyNumberFormat="1" applyFont="1" applyBorder="1"/>
    <xf numFmtId="2" fontId="0" fillId="0" borderId="0" xfId="0" applyNumberFormat="1" applyFont="1" applyBorder="1"/>
    <xf numFmtId="1" fontId="16" fillId="0" borderId="0" xfId="0" applyNumberFormat="1" applyFont="1" applyBorder="1"/>
    <xf numFmtId="0" fontId="0" fillId="0" borderId="1" xfId="0" quotePrefix="1" applyFont="1" applyBorder="1"/>
    <xf numFmtId="0" fontId="0" fillId="0" borderId="1" xfId="0" applyBorder="1" applyAlignment="1">
      <alignment horizontal="right"/>
    </xf>
    <xf numFmtId="0" fontId="13" fillId="0" borderId="1" xfId="0" applyFont="1" applyBorder="1"/>
    <xf numFmtId="1" fontId="16" fillId="0" borderId="9" xfId="0" applyNumberFormat="1" applyFont="1" applyFill="1" applyBorder="1"/>
    <xf numFmtId="2" fontId="2" fillId="0" borderId="1" xfId="0" applyNumberFormat="1" applyFont="1" applyFill="1" applyBorder="1"/>
    <xf numFmtId="9" fontId="4" fillId="0" borderId="2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5" fillId="0" borderId="4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8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2" fontId="5" fillId="0" borderId="9" xfId="0" applyNumberFormat="1" applyFont="1" applyBorder="1" applyAlignment="1">
      <alignment horizontal="left"/>
    </xf>
    <xf numFmtId="2" fontId="4" fillId="0" borderId="9" xfId="0" applyNumberFormat="1" applyFont="1" applyBorder="1" applyAlignment="1">
      <alignment horizontal="left"/>
    </xf>
    <xf numFmtId="2" fontId="5" fillId="0" borderId="1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9" fontId="7" fillId="0" borderId="0" xfId="0" applyNumberFormat="1" applyFont="1" applyBorder="1" applyAlignment="1"/>
    <xf numFmtId="1" fontId="8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4" fillId="0" borderId="1" xfId="0" applyFont="1" applyBorder="1" applyAlignment="1"/>
    <xf numFmtId="2" fontId="2" fillId="0" borderId="5" xfId="0" applyNumberFormat="1" applyFon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4" fillId="0" borderId="1" xfId="0" applyNumberFormat="1" applyFont="1" applyBorder="1" applyAlignment="1"/>
    <xf numFmtId="2" fontId="4" fillId="0" borderId="1" xfId="0" applyNumberFormat="1" applyFont="1" applyBorder="1" applyAlignment="1">
      <alignment wrapText="1"/>
    </xf>
    <xf numFmtId="1" fontId="0" fillId="0" borderId="1" xfId="0" applyNumberFormat="1" applyFont="1" applyBorder="1"/>
    <xf numFmtId="0" fontId="0" fillId="0" borderId="0" xfId="0" quotePrefix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1" fontId="16" fillId="0" borderId="0" xfId="0" applyNumberFormat="1" applyFont="1"/>
    <xf numFmtId="0" fontId="0" fillId="0" borderId="0" xfId="0" applyAlignment="1">
      <alignment wrapText="1"/>
    </xf>
    <xf numFmtId="2" fontId="16" fillId="0" borderId="1" xfId="0" applyNumberFormat="1" applyFont="1" applyBorder="1"/>
    <xf numFmtId="2" fontId="16" fillId="0" borderId="0" xfId="0" applyNumberFormat="1" applyFont="1" applyBorder="1"/>
    <xf numFmtId="1" fontId="7" fillId="0" borderId="1" xfId="0" applyNumberFormat="1" applyFont="1" applyBorder="1"/>
    <xf numFmtId="1" fontId="8" fillId="0" borderId="1" xfId="0" applyNumberFormat="1" applyFont="1" applyBorder="1"/>
    <xf numFmtId="166" fontId="4" fillId="0" borderId="0" xfId="0" applyNumberFormat="1" applyFont="1" applyAlignment="1">
      <alignment horizontal="left"/>
    </xf>
    <xf numFmtId="166" fontId="7" fillId="0" borderId="0" xfId="0" applyNumberFormat="1" applyFont="1" applyBorder="1" applyAlignment="1"/>
    <xf numFmtId="0" fontId="17" fillId="0" borderId="1" xfId="0" applyFont="1" applyBorder="1"/>
    <xf numFmtId="2" fontId="0" fillId="0" borderId="0" xfId="0" applyNumberFormat="1" applyFont="1"/>
    <xf numFmtId="1" fontId="2" fillId="0" borderId="0" xfId="0" applyNumberFormat="1" applyFont="1"/>
    <xf numFmtId="1" fontId="8" fillId="0" borderId="0" xfId="0" applyNumberFormat="1" applyFont="1"/>
    <xf numFmtId="1" fontId="2" fillId="0" borderId="0" xfId="0" applyNumberFormat="1" applyFont="1" applyBorder="1"/>
    <xf numFmtId="2" fontId="16" fillId="0" borderId="0" xfId="0" applyNumberFormat="1" applyFont="1" applyFill="1" applyBorder="1"/>
    <xf numFmtId="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2" fontId="0" fillId="3" borderId="1" xfId="0" applyNumberFormat="1" applyFill="1" applyBorder="1"/>
    <xf numFmtId="2" fontId="1" fillId="3" borderId="1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49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3" borderId="1" xfId="0" quotePrefix="1" applyNumberFormat="1" applyFont="1" applyFill="1" applyBorder="1" applyAlignment="1">
      <alignment horizontal="right"/>
    </xf>
    <xf numFmtId="0" fontId="0" fillId="3" borderId="1" xfId="0" quotePrefix="1" applyFont="1" applyFill="1" applyBorder="1"/>
    <xf numFmtId="2" fontId="0" fillId="3" borderId="0" xfId="0" applyNumberFormat="1" applyFont="1" applyFill="1"/>
    <xf numFmtId="0" fontId="1" fillId="3" borderId="1" xfId="0" applyFont="1" applyFill="1" applyBorder="1"/>
    <xf numFmtId="0" fontId="0" fillId="3" borderId="1" xfId="0" quotePrefix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3" borderId="1" xfId="0" applyFont="1" applyFill="1" applyBorder="1"/>
    <xf numFmtId="49" fontId="0" fillId="3" borderId="1" xfId="0" applyNumberForma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" xfId="0" quotePrefix="1" applyFill="1" applyBorder="1" applyAlignment="1">
      <alignment horizontal="left" wrapText="1"/>
    </xf>
    <xf numFmtId="0" fontId="0" fillId="3" borderId="1" xfId="0" quotePrefix="1" applyFill="1" applyBorder="1"/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49" fontId="8" fillId="3" borderId="1" xfId="0" quotePrefix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" xfId="0" quotePrefix="1" applyFont="1" applyFill="1" applyBorder="1" applyAlignment="1">
      <alignment horizontal="center"/>
    </xf>
    <xf numFmtId="1" fontId="8" fillId="3" borderId="1" xfId="0" quotePrefix="1" applyNumberFormat="1" applyFont="1" applyFill="1" applyBorder="1" applyAlignment="1">
      <alignment horizontal="center"/>
    </xf>
    <xf numFmtId="2" fontId="8" fillId="3" borderId="1" xfId="0" quotePrefix="1" applyNumberFormat="1" applyFont="1" applyFill="1" applyBorder="1" applyAlignment="1">
      <alignment horizontal="center"/>
    </xf>
    <xf numFmtId="0" fontId="7" fillId="3" borderId="0" xfId="0" quotePrefix="1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" fontId="7" fillId="3" borderId="1" xfId="0" quotePrefix="1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1" fontId="7" fillId="3" borderId="9" xfId="0" applyNumberFormat="1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9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/>
    <xf numFmtId="1" fontId="18" fillId="0" borderId="1" xfId="0" applyNumberFormat="1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9" fillId="0" borderId="1" xfId="0" applyFont="1" applyBorder="1"/>
    <xf numFmtId="1" fontId="19" fillId="0" borderId="1" xfId="0" applyNumberFormat="1" applyFont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19" fillId="0" borderId="0" xfId="0" applyFont="1"/>
    <xf numFmtId="1" fontId="19" fillId="0" borderId="0" xfId="0" applyNumberFormat="1" applyFont="1" applyAlignment="1">
      <alignment horizontal="center"/>
    </xf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219076</xdr:colOff>
      <xdr:row>0</xdr:row>
      <xdr:rowOff>19050</xdr:rowOff>
    </xdr:from>
    <xdr:to>
      <xdr:col>10</xdr:col>
      <xdr:colOff>1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4495801" y="19050"/>
          <a:ext cx="44196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Приложение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к Решению Собрания депутатов Елизовского городского поселения №179 от 27 сентября 2022 года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9"/>
  <sheetViews>
    <sheetView tabSelected="1" workbookViewId="0">
      <selection activeCell="N9" sqref="N9"/>
    </sheetView>
  </sheetViews>
  <sheetFormatPr defaultRowHeight="12.75" x14ac:dyDescent="0.2"/>
  <cols>
    <col min="1" max="1" width="6.140625" style="95" customWidth="1"/>
    <col min="2" max="2" width="48" customWidth="1"/>
    <col min="3" max="3" width="10" style="95" customWidth="1"/>
    <col min="4" max="4" width="10.5703125" style="95" customWidth="1"/>
    <col min="5" max="5" width="11.7109375" style="95" customWidth="1"/>
    <col min="6" max="6" width="9.85546875" style="95" customWidth="1"/>
    <col min="7" max="7" width="10" style="95" customWidth="1"/>
    <col min="8" max="8" width="8.140625" style="95" customWidth="1"/>
    <col min="9" max="9" width="8.42578125" style="95" customWidth="1"/>
    <col min="10" max="10" width="10.85546875" style="95" customWidth="1"/>
    <col min="11" max="11" width="10.7109375" bestFit="1" customWidth="1"/>
  </cols>
  <sheetData>
    <row r="4" spans="1:11" ht="15.75" x14ac:dyDescent="0.25">
      <c r="A4" s="234"/>
      <c r="B4" s="233" t="s">
        <v>201</v>
      </c>
      <c r="C4" s="233"/>
      <c r="D4" s="233"/>
      <c r="E4" s="233" t="s">
        <v>228</v>
      </c>
      <c r="F4" s="233"/>
      <c r="G4" s="233"/>
      <c r="H4" s="233"/>
      <c r="I4" s="233" t="s">
        <v>137</v>
      </c>
      <c r="J4" s="235">
        <f>J9+J11</f>
        <v>21361050.644480001</v>
      </c>
    </row>
    <row r="5" spans="1:11" ht="15.75" x14ac:dyDescent="0.25">
      <c r="A5" s="234"/>
      <c r="B5" s="233"/>
      <c r="C5" s="233"/>
      <c r="D5" s="233"/>
      <c r="E5" s="233"/>
      <c r="F5" s="233"/>
      <c r="G5" s="233"/>
      <c r="H5" s="233"/>
      <c r="I5" s="233"/>
      <c r="J5" s="234"/>
    </row>
    <row r="6" spans="1:11" ht="15.75" x14ac:dyDescent="0.25">
      <c r="A6" s="236"/>
      <c r="B6" s="237" t="s">
        <v>98</v>
      </c>
      <c r="C6" s="257" t="s">
        <v>115</v>
      </c>
      <c r="D6" s="256"/>
      <c r="E6" s="255" t="s">
        <v>116</v>
      </c>
      <c r="F6" s="255"/>
      <c r="G6" s="256"/>
      <c r="H6" s="238" t="s">
        <v>96</v>
      </c>
      <c r="I6" s="239">
        <v>1001</v>
      </c>
      <c r="J6" s="240"/>
    </row>
    <row r="7" spans="1:11" s="22" customFormat="1" ht="21.6" customHeight="1" x14ac:dyDescent="0.25">
      <c r="A7" s="241" t="s">
        <v>114</v>
      </c>
      <c r="B7" s="241" t="s">
        <v>86</v>
      </c>
      <c r="C7" s="242"/>
      <c r="D7" s="242" t="s">
        <v>87</v>
      </c>
      <c r="E7" s="242" t="s">
        <v>128</v>
      </c>
      <c r="F7" s="242" t="s">
        <v>129</v>
      </c>
      <c r="G7" s="242" t="s">
        <v>95</v>
      </c>
      <c r="H7" s="243" t="s">
        <v>113</v>
      </c>
      <c r="I7" s="244" t="s">
        <v>87</v>
      </c>
      <c r="J7" s="241" t="s">
        <v>97</v>
      </c>
    </row>
    <row r="8" spans="1:11" s="5" customFormat="1" ht="21" customHeight="1" x14ac:dyDescent="0.25">
      <c r="A8" s="241"/>
      <c r="B8" s="245" t="s">
        <v>99</v>
      </c>
      <c r="C8" s="246">
        <f>C9+C10+C11</f>
        <v>0</v>
      </c>
      <c r="D8" s="246">
        <f>D9+D10+D11</f>
        <v>0</v>
      </c>
      <c r="E8" s="246">
        <f>E9+E10+E11</f>
        <v>6377678.2007999998</v>
      </c>
      <c r="F8" s="246">
        <f>F9+F10+F11</f>
        <v>15822372.44368</v>
      </c>
      <c r="G8" s="246">
        <f>G9+G10+G11</f>
        <v>22200050.644480001</v>
      </c>
      <c r="H8" s="247"/>
      <c r="I8" s="246"/>
      <c r="J8" s="246">
        <f>J9+J10+J11</f>
        <v>22200050.644480001</v>
      </c>
      <c r="K8" s="112"/>
    </row>
    <row r="9" spans="1:11" ht="21" customHeight="1" x14ac:dyDescent="0.25">
      <c r="A9" s="240">
        <v>121</v>
      </c>
      <c r="B9" s="248" t="s">
        <v>76</v>
      </c>
      <c r="C9" s="249">
        <f>з.п.!D47</f>
        <v>0</v>
      </c>
      <c r="D9" s="249">
        <f>C9</f>
        <v>0</v>
      </c>
      <c r="E9" s="249">
        <f>расчет!D179</f>
        <v>4946853.5999999996</v>
      </c>
      <c r="F9" s="249">
        <f>расчет!E179</f>
        <v>11670562</v>
      </c>
      <c r="G9" s="249">
        <f>E9+F9</f>
        <v>16617415.6</v>
      </c>
      <c r="H9" s="250"/>
      <c r="I9" s="249"/>
      <c r="J9" s="249">
        <f>G9+D9</f>
        <v>16617415.6</v>
      </c>
      <c r="K9" s="5"/>
    </row>
    <row r="10" spans="1:11" ht="20.25" customHeight="1" x14ac:dyDescent="0.25">
      <c r="A10" s="240">
        <v>122</v>
      </c>
      <c r="B10" s="248" t="s">
        <v>77</v>
      </c>
      <c r="C10" s="249">
        <f>расчет!D40</f>
        <v>0</v>
      </c>
      <c r="D10" s="249">
        <v>0</v>
      </c>
      <c r="E10" s="249">
        <f>расчет!D180</f>
        <v>238500</v>
      </c>
      <c r="F10" s="249">
        <f>расчет!E180</f>
        <v>600500</v>
      </c>
      <c r="G10" s="249">
        <f>E10+F10</f>
        <v>839000</v>
      </c>
      <c r="H10" s="250"/>
      <c r="I10" s="249"/>
      <c r="J10" s="249">
        <f t="shared" ref="J10:J11" si="0">G10+D10</f>
        <v>839000</v>
      </c>
    </row>
    <row r="11" spans="1:11" ht="21" customHeight="1" x14ac:dyDescent="0.25">
      <c r="A11" s="240">
        <v>129</v>
      </c>
      <c r="B11" s="248" t="s">
        <v>78</v>
      </c>
      <c r="C11" s="249">
        <f>Взносы!M45</f>
        <v>0</v>
      </c>
      <c r="D11" s="249">
        <f>C11</f>
        <v>0</v>
      </c>
      <c r="E11" s="249">
        <f>расчет!D181</f>
        <v>1192324.6008000001</v>
      </c>
      <c r="F11" s="249">
        <f>Взносы!M47</f>
        <v>3551310.4436800005</v>
      </c>
      <c r="G11" s="249">
        <f>E11+F11</f>
        <v>4743635.0444800006</v>
      </c>
      <c r="H11" s="250"/>
      <c r="I11" s="249"/>
      <c r="J11" s="249">
        <f t="shared" si="0"/>
        <v>4743635.0444800006</v>
      </c>
    </row>
    <row r="12" spans="1:11" s="5" customFormat="1" ht="21.75" customHeight="1" x14ac:dyDescent="0.25">
      <c r="A12" s="241">
        <v>244</v>
      </c>
      <c r="B12" s="245" t="s">
        <v>198</v>
      </c>
      <c r="C12" s="246"/>
      <c r="D12" s="246"/>
      <c r="E12" s="246"/>
      <c r="F12" s="246">
        <f>F13+F14+F15+F16+F17+F18+F19</f>
        <v>4436592.6000000006</v>
      </c>
      <c r="G12" s="246">
        <f>F12</f>
        <v>4436592.6000000006</v>
      </c>
      <c r="H12" s="247"/>
      <c r="I12" s="246"/>
      <c r="J12" s="246">
        <f>G12</f>
        <v>4436592.6000000006</v>
      </c>
    </row>
    <row r="13" spans="1:11" ht="19.5" customHeight="1" x14ac:dyDescent="0.25">
      <c r="A13" s="240">
        <v>244</v>
      </c>
      <c r="B13" s="248" t="s">
        <v>79</v>
      </c>
      <c r="C13" s="249"/>
      <c r="D13" s="249"/>
      <c r="E13" s="249"/>
      <c r="F13" s="249">
        <f>расчет!G70</f>
        <v>201162.4</v>
      </c>
      <c r="G13" s="249">
        <f>F13</f>
        <v>201162.4</v>
      </c>
      <c r="H13" s="250"/>
      <c r="I13" s="249"/>
      <c r="J13" s="249">
        <f>G13</f>
        <v>201162.4</v>
      </c>
    </row>
    <row r="14" spans="1:11" ht="20.25" customHeight="1" x14ac:dyDescent="0.25">
      <c r="A14" s="240">
        <v>244</v>
      </c>
      <c r="B14" s="248" t="s">
        <v>80</v>
      </c>
      <c r="C14" s="249"/>
      <c r="D14" s="249"/>
      <c r="E14" s="249"/>
      <c r="F14" s="249">
        <v>0</v>
      </c>
      <c r="G14" s="249">
        <f>F14</f>
        <v>0</v>
      </c>
      <c r="H14" s="250"/>
      <c r="I14" s="249"/>
      <c r="J14" s="249">
        <f>G14+I14</f>
        <v>0</v>
      </c>
    </row>
    <row r="15" spans="1:11" ht="21" customHeight="1" x14ac:dyDescent="0.25">
      <c r="A15" s="240">
        <v>244</v>
      </c>
      <c r="B15" s="248" t="s">
        <v>81</v>
      </c>
      <c r="C15" s="249"/>
      <c r="D15" s="249"/>
      <c r="E15" s="249"/>
      <c r="F15" s="249">
        <f>расчет!F79</f>
        <v>1473661.2000000002</v>
      </c>
      <c r="G15" s="249">
        <f t="shared" ref="G15:G22" si="1">C15+E15+F15</f>
        <v>1473661.2000000002</v>
      </c>
      <c r="H15" s="250"/>
      <c r="I15" s="249"/>
      <c r="J15" s="249">
        <f>G15+I15</f>
        <v>1473661.2000000002</v>
      </c>
    </row>
    <row r="16" spans="1:11" ht="21" customHeight="1" x14ac:dyDescent="0.25">
      <c r="A16" s="240">
        <v>244</v>
      </c>
      <c r="B16" s="248" t="s">
        <v>82</v>
      </c>
      <c r="C16" s="249"/>
      <c r="D16" s="249"/>
      <c r="E16" s="249"/>
      <c r="F16" s="249">
        <f>расчет!F90</f>
        <v>213774</v>
      </c>
      <c r="G16" s="249">
        <f t="shared" si="1"/>
        <v>213774</v>
      </c>
      <c r="H16" s="250"/>
      <c r="I16" s="249"/>
      <c r="J16" s="249">
        <f>G16+I16</f>
        <v>213774</v>
      </c>
    </row>
    <row r="17" spans="1:11" ht="21" customHeight="1" x14ac:dyDescent="0.25">
      <c r="A17" s="240">
        <v>244</v>
      </c>
      <c r="B17" s="248" t="s">
        <v>83</v>
      </c>
      <c r="C17" s="249"/>
      <c r="D17" s="249"/>
      <c r="E17" s="249"/>
      <c r="F17" s="249">
        <f>расчет!F113</f>
        <v>1552051.6800000002</v>
      </c>
      <c r="G17" s="249">
        <f>F17</f>
        <v>1552051.6800000002</v>
      </c>
      <c r="H17" s="250"/>
      <c r="I17" s="249"/>
      <c r="J17" s="249">
        <f>G17+I17</f>
        <v>1552051.6800000002</v>
      </c>
    </row>
    <row r="18" spans="1:11" s="5" customFormat="1" ht="21.75" customHeight="1" x14ac:dyDescent="0.25">
      <c r="A18" s="240">
        <v>244</v>
      </c>
      <c r="B18" s="248" t="s">
        <v>85</v>
      </c>
      <c r="C18" s="249"/>
      <c r="D18" s="249"/>
      <c r="E18" s="249"/>
      <c r="F18" s="249">
        <f>расчет!F123+расчет!F140+расчет!F150</f>
        <v>805943.32000000007</v>
      </c>
      <c r="G18" s="249">
        <f>F18</f>
        <v>805943.32000000007</v>
      </c>
      <c r="H18" s="250"/>
      <c r="I18" s="249"/>
      <c r="J18" s="249">
        <f>G18</f>
        <v>805943.32000000007</v>
      </c>
    </row>
    <row r="19" spans="1:11" s="27" customFormat="1" ht="21" customHeight="1" x14ac:dyDescent="0.25">
      <c r="A19" s="240">
        <v>244</v>
      </c>
      <c r="B19" s="248" t="s">
        <v>84</v>
      </c>
      <c r="C19" s="249"/>
      <c r="D19" s="249"/>
      <c r="E19" s="249"/>
      <c r="F19" s="249">
        <f>расчет!F160</f>
        <v>190000</v>
      </c>
      <c r="G19" s="249">
        <f>F19</f>
        <v>190000</v>
      </c>
      <c r="H19" s="250"/>
      <c r="I19" s="249"/>
      <c r="J19" s="249">
        <f>G19</f>
        <v>190000</v>
      </c>
    </row>
    <row r="20" spans="1:11" s="27" customFormat="1" ht="21" customHeight="1" x14ac:dyDescent="0.25">
      <c r="A20" s="241">
        <v>850</v>
      </c>
      <c r="B20" s="245" t="s">
        <v>199</v>
      </c>
      <c r="C20" s="246"/>
      <c r="D20" s="246"/>
      <c r="E20" s="246"/>
      <c r="F20" s="246">
        <f>F21+F22+F23</f>
        <v>20000</v>
      </c>
      <c r="G20" s="246">
        <f>G21+G22+G23</f>
        <v>20000</v>
      </c>
      <c r="H20" s="247"/>
      <c r="I20" s="246"/>
      <c r="J20" s="246">
        <f>J21+J22+J23</f>
        <v>20000</v>
      </c>
    </row>
    <row r="21" spans="1:11" s="27" customFormat="1" ht="21" customHeight="1" x14ac:dyDescent="0.25">
      <c r="A21" s="240">
        <v>851</v>
      </c>
      <c r="B21" s="248" t="s">
        <v>143</v>
      </c>
      <c r="C21" s="249"/>
      <c r="D21" s="249"/>
      <c r="E21" s="249"/>
      <c r="F21" s="249">
        <f>расчет!F171</f>
        <v>0</v>
      </c>
      <c r="G21" s="249">
        <f>F21</f>
        <v>0</v>
      </c>
      <c r="H21" s="250"/>
      <c r="I21" s="249"/>
      <c r="J21" s="249">
        <f>G21</f>
        <v>0</v>
      </c>
    </row>
    <row r="22" spans="1:11" s="27" customFormat="1" ht="21.75" customHeight="1" x14ac:dyDescent="0.25">
      <c r="A22" s="240">
        <v>852</v>
      </c>
      <c r="B22" s="248" t="s">
        <v>265</v>
      </c>
      <c r="C22" s="249"/>
      <c r="D22" s="249"/>
      <c r="E22" s="249"/>
      <c r="F22" s="249">
        <f>расчет!F170</f>
        <v>18000</v>
      </c>
      <c r="G22" s="249">
        <f t="shared" si="1"/>
        <v>18000</v>
      </c>
      <c r="H22" s="250"/>
      <c r="I22" s="249"/>
      <c r="J22" s="249">
        <f>G22+I22</f>
        <v>18000</v>
      </c>
      <c r="K22" s="107"/>
    </row>
    <row r="23" spans="1:11" s="5" customFormat="1" ht="15.75" customHeight="1" x14ac:dyDescent="0.25">
      <c r="A23" s="240">
        <v>853</v>
      </c>
      <c r="B23" s="248" t="s">
        <v>196</v>
      </c>
      <c r="C23" s="249"/>
      <c r="D23" s="249"/>
      <c r="E23" s="249"/>
      <c r="F23" s="249">
        <f>расчет!F173</f>
        <v>2000</v>
      </c>
      <c r="G23" s="249">
        <f>F23</f>
        <v>2000</v>
      </c>
      <c r="H23" s="250"/>
      <c r="I23" s="249"/>
      <c r="J23" s="249">
        <f>G23</f>
        <v>2000</v>
      </c>
    </row>
    <row r="24" spans="1:11" s="5" customFormat="1" ht="18" customHeight="1" x14ac:dyDescent="0.25">
      <c r="A24" s="241"/>
      <c r="B24" s="245" t="s">
        <v>87</v>
      </c>
      <c r="C24" s="246">
        <f>C8+C12+C22+C23</f>
        <v>0</v>
      </c>
      <c r="D24" s="246">
        <f>D8</f>
        <v>0</v>
      </c>
      <c r="E24" s="246">
        <f>E8+E12+E22+E23</f>
        <v>6377678.2007999998</v>
      </c>
      <c r="F24" s="246">
        <f>F8+F12+F20</f>
        <v>20278965.043680001</v>
      </c>
      <c r="G24" s="246">
        <f>G8+G12+G20</f>
        <v>26656643.244480003</v>
      </c>
      <c r="H24" s="246">
        <v>0</v>
      </c>
      <c r="I24" s="246">
        <v>0</v>
      </c>
      <c r="J24" s="246">
        <f>J8+J12+J20</f>
        <v>26656643.244480003</v>
      </c>
    </row>
    <row r="25" spans="1:11" ht="15.75" x14ac:dyDescent="0.25">
      <c r="A25" s="234"/>
      <c r="B25" s="251"/>
      <c r="C25" s="252"/>
      <c r="D25" s="252"/>
      <c r="E25" s="252"/>
      <c r="F25" s="252"/>
      <c r="G25" s="252">
        <f>E24+F24</f>
        <v>26656643.244479999</v>
      </c>
      <c r="H25" s="252"/>
      <c r="I25" s="253"/>
      <c r="J25" s="254">
        <f>D24+G24</f>
        <v>26656643.244480003</v>
      </c>
    </row>
    <row r="27" spans="1:11" x14ac:dyDescent="0.2">
      <c r="C27" s="144"/>
      <c r="D27" s="144"/>
      <c r="E27" s="144"/>
      <c r="F27" s="144"/>
      <c r="G27" s="144"/>
      <c r="H27" s="144"/>
      <c r="I27" s="144"/>
      <c r="J27" s="144"/>
    </row>
    <row r="28" spans="1:11" x14ac:dyDescent="0.2">
      <c r="C28" s="145"/>
      <c r="D28" s="144"/>
      <c r="E28" s="144"/>
      <c r="F28" s="145"/>
      <c r="G28" s="145"/>
      <c r="H28" s="144"/>
      <c r="I28" s="144"/>
      <c r="J28" s="145"/>
    </row>
    <row r="29" spans="1:11" x14ac:dyDescent="0.2">
      <c r="J29" s="109"/>
    </row>
  </sheetData>
  <mergeCells count="2">
    <mergeCell ref="E6:G6"/>
    <mergeCell ref="C6:D6"/>
  </mergeCells>
  <pageMargins left="0.31496062992125984" right="0.31496062992125984" top="0.15748031496062992" bottom="0.35433070866141736" header="0.11811023622047245" footer="0.31496062992125984"/>
  <pageSetup paperSize="9" orientation="landscape" r:id="rId1"/>
  <ignoredErrors>
    <ignoredError sqref="G14:G15 J19 D24 G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0"/>
  <sheetViews>
    <sheetView topLeftCell="A159" workbookViewId="0">
      <selection sqref="A1:G186"/>
    </sheetView>
  </sheetViews>
  <sheetFormatPr defaultRowHeight="12.75" x14ac:dyDescent="0.2"/>
  <cols>
    <col min="1" max="1" width="7.5703125" customWidth="1"/>
    <col min="2" max="2" width="55.7109375" customWidth="1"/>
    <col min="3" max="3" width="15.85546875" customWidth="1"/>
    <col min="4" max="4" width="12.85546875" customWidth="1"/>
    <col min="5" max="5" width="17.28515625" customWidth="1"/>
    <col min="6" max="6" width="11.85546875" customWidth="1"/>
    <col min="7" max="7" width="11" customWidth="1"/>
    <col min="8" max="8" width="27.85546875" customWidth="1"/>
  </cols>
  <sheetData>
    <row r="2" spans="1:6" x14ac:dyDescent="0.2">
      <c r="B2" s="5" t="s">
        <v>229</v>
      </c>
    </row>
    <row r="3" spans="1:6" s="5" customFormat="1" x14ac:dyDescent="0.2">
      <c r="C3" s="5" t="s">
        <v>181</v>
      </c>
    </row>
    <row r="4" spans="1:6" x14ac:dyDescent="0.2">
      <c r="B4" s="5" t="s">
        <v>31</v>
      </c>
    </row>
    <row r="5" spans="1:6" s="5" customFormat="1" x14ac:dyDescent="0.2">
      <c r="A5" s="3" t="s">
        <v>5</v>
      </c>
      <c r="B5" s="3" t="s">
        <v>103</v>
      </c>
      <c r="C5" s="3" t="s">
        <v>104</v>
      </c>
      <c r="D5" s="3" t="s">
        <v>105</v>
      </c>
      <c r="E5" s="3" t="s">
        <v>106</v>
      </c>
      <c r="F5" s="3" t="s">
        <v>29</v>
      </c>
    </row>
    <row r="6" spans="1:6" x14ac:dyDescent="0.2">
      <c r="A6" s="1"/>
      <c r="B6" s="1"/>
      <c r="C6" s="1"/>
      <c r="D6" s="1" t="s">
        <v>107</v>
      </c>
      <c r="E6" s="85" t="s">
        <v>238</v>
      </c>
      <c r="F6" s="1"/>
    </row>
    <row r="7" spans="1:6" x14ac:dyDescent="0.2">
      <c r="A7" s="189">
        <v>10040</v>
      </c>
      <c r="B7" s="184" t="s">
        <v>241</v>
      </c>
      <c r="C7" s="184" t="s">
        <v>204</v>
      </c>
      <c r="D7" s="190" t="s">
        <v>239</v>
      </c>
      <c r="E7" s="191" t="s">
        <v>240</v>
      </c>
      <c r="F7" s="186">
        <v>137500</v>
      </c>
    </row>
    <row r="8" spans="1:6" x14ac:dyDescent="0.2">
      <c r="A8" s="119">
        <v>10010</v>
      </c>
      <c r="B8" s="1" t="s">
        <v>242</v>
      </c>
      <c r="C8" s="1" t="s">
        <v>202</v>
      </c>
      <c r="D8" s="182" t="s">
        <v>239</v>
      </c>
      <c r="E8" s="183" t="s">
        <v>240</v>
      </c>
      <c r="F8" s="2">
        <v>137500</v>
      </c>
    </row>
    <row r="9" spans="1:6" x14ac:dyDescent="0.2">
      <c r="A9" s="119">
        <v>10010</v>
      </c>
      <c r="B9" s="1" t="s">
        <v>243</v>
      </c>
      <c r="C9" s="1" t="s">
        <v>203</v>
      </c>
      <c r="D9" s="182" t="s">
        <v>244</v>
      </c>
      <c r="E9" s="183" t="s">
        <v>240</v>
      </c>
      <c r="F9" s="2">
        <v>82500</v>
      </c>
    </row>
    <row r="10" spans="1:6" x14ac:dyDescent="0.2">
      <c r="A10" s="119">
        <v>10010</v>
      </c>
      <c r="B10" s="1" t="s">
        <v>245</v>
      </c>
      <c r="C10" s="1" t="s">
        <v>202</v>
      </c>
      <c r="D10" s="182" t="s">
        <v>246</v>
      </c>
      <c r="E10" s="183">
        <v>55000</v>
      </c>
      <c r="F10" s="2">
        <f>E10*D10</f>
        <v>55000</v>
      </c>
    </row>
    <row r="11" spans="1:6" x14ac:dyDescent="0.2">
      <c r="A11" s="119">
        <v>10010</v>
      </c>
      <c r="B11" s="1" t="s">
        <v>245</v>
      </c>
      <c r="C11" s="1" t="s">
        <v>202</v>
      </c>
      <c r="D11" s="182" t="s">
        <v>246</v>
      </c>
      <c r="E11" s="183">
        <v>55000</v>
      </c>
      <c r="F11" s="2">
        <f>E11*D11</f>
        <v>55000</v>
      </c>
    </row>
    <row r="12" spans="1:6" hidden="1" x14ac:dyDescent="0.2">
      <c r="A12" s="119">
        <v>10010</v>
      </c>
      <c r="B12" s="1" t="s">
        <v>224</v>
      </c>
      <c r="C12" s="1" t="s">
        <v>203</v>
      </c>
      <c r="D12" s="1"/>
      <c r="E12" s="2"/>
      <c r="F12" s="2"/>
    </row>
    <row r="13" spans="1:6" hidden="1" x14ac:dyDescent="0.2">
      <c r="A13" s="119">
        <v>10010</v>
      </c>
      <c r="B13" s="1" t="s">
        <v>223</v>
      </c>
      <c r="C13" s="1" t="s">
        <v>203</v>
      </c>
      <c r="D13" s="1"/>
      <c r="E13" s="2"/>
      <c r="F13" s="2">
        <f t="shared" ref="F13:F16" si="0">D13*E13</f>
        <v>0</v>
      </c>
    </row>
    <row r="14" spans="1:6" x14ac:dyDescent="0.2">
      <c r="A14" s="119">
        <v>10010</v>
      </c>
      <c r="B14" s="1" t="s">
        <v>247</v>
      </c>
      <c r="C14" s="1" t="s">
        <v>204</v>
      </c>
      <c r="D14" s="182" t="s">
        <v>244</v>
      </c>
      <c r="E14" s="183" t="s">
        <v>240</v>
      </c>
      <c r="F14" s="2">
        <v>82500</v>
      </c>
    </row>
    <row r="15" spans="1:6" x14ac:dyDescent="0.2">
      <c r="A15" s="119">
        <v>10010</v>
      </c>
      <c r="B15" s="1" t="s">
        <v>142</v>
      </c>
      <c r="C15" s="1" t="s">
        <v>203</v>
      </c>
      <c r="D15" s="182" t="s">
        <v>246</v>
      </c>
      <c r="E15" s="183">
        <v>55000</v>
      </c>
      <c r="F15" s="2">
        <f t="shared" si="0"/>
        <v>55000</v>
      </c>
    </row>
    <row r="16" spans="1:6" x14ac:dyDescent="0.2">
      <c r="A16" s="119">
        <v>10010</v>
      </c>
      <c r="B16" s="1" t="s">
        <v>205</v>
      </c>
      <c r="C16" s="1" t="s">
        <v>204</v>
      </c>
      <c r="D16" s="1"/>
      <c r="E16" s="2"/>
      <c r="F16" s="2">
        <f t="shared" si="0"/>
        <v>0</v>
      </c>
    </row>
    <row r="17" spans="1:7" x14ac:dyDescent="0.2">
      <c r="A17" s="119">
        <v>10010</v>
      </c>
      <c r="B17" s="1" t="s">
        <v>248</v>
      </c>
      <c r="C17" s="1" t="s">
        <v>203</v>
      </c>
      <c r="D17" s="182" t="s">
        <v>244</v>
      </c>
      <c r="E17" s="183" t="s">
        <v>240</v>
      </c>
      <c r="F17" s="2">
        <v>82500</v>
      </c>
    </row>
    <row r="18" spans="1:7" s="5" customFormat="1" x14ac:dyDescent="0.2">
      <c r="A18" s="17"/>
      <c r="B18" s="3" t="s">
        <v>30</v>
      </c>
      <c r="C18" s="3"/>
      <c r="D18" s="1"/>
      <c r="E18" s="3"/>
      <c r="F18" s="4">
        <f>SUM(F7:F17)</f>
        <v>687500</v>
      </c>
    </row>
    <row r="19" spans="1:7" s="5" customFormat="1" x14ac:dyDescent="0.2">
      <c r="A19" s="14"/>
      <c r="B19" s="14"/>
      <c r="C19" s="14"/>
      <c r="D19" s="1"/>
      <c r="E19" s="14"/>
      <c r="F19" s="30"/>
    </row>
    <row r="20" spans="1:7" x14ac:dyDescent="0.2">
      <c r="B20" s="6"/>
      <c r="D20" s="182"/>
    </row>
    <row r="21" spans="1:7" s="5" customFormat="1" x14ac:dyDescent="0.2">
      <c r="A21" s="3" t="s">
        <v>5</v>
      </c>
      <c r="B21" s="3" t="s">
        <v>32</v>
      </c>
      <c r="C21" s="3" t="s">
        <v>33</v>
      </c>
      <c r="D21" s="3" t="s">
        <v>34</v>
      </c>
      <c r="E21" s="3" t="s">
        <v>35</v>
      </c>
      <c r="F21" s="7" t="s">
        <v>37</v>
      </c>
      <c r="G21" s="14"/>
    </row>
    <row r="22" spans="1:7" s="27" customFormat="1" x14ac:dyDescent="0.2">
      <c r="A22" s="192">
        <v>10040</v>
      </c>
      <c r="B22" s="192" t="s">
        <v>39</v>
      </c>
      <c r="C22" s="192" t="s">
        <v>108</v>
      </c>
      <c r="D22" s="192">
        <v>10</v>
      </c>
      <c r="E22" s="193">
        <v>550</v>
      </c>
      <c r="F22" s="194">
        <f>D22*E22</f>
        <v>5500</v>
      </c>
      <c r="G22" s="116"/>
    </row>
    <row r="23" spans="1:7" s="27" customFormat="1" x14ac:dyDescent="0.2">
      <c r="A23" s="192">
        <v>10040</v>
      </c>
      <c r="B23" s="192" t="s">
        <v>39</v>
      </c>
      <c r="C23" s="192" t="s">
        <v>108</v>
      </c>
      <c r="D23" s="192">
        <v>10</v>
      </c>
      <c r="E23" s="193">
        <v>550</v>
      </c>
      <c r="F23" s="194">
        <f>D23*E23</f>
        <v>5500</v>
      </c>
      <c r="G23" s="116"/>
    </row>
    <row r="24" spans="1:7" x14ac:dyDescent="0.2">
      <c r="A24" s="1">
        <v>10010</v>
      </c>
      <c r="B24" s="1" t="s">
        <v>39</v>
      </c>
      <c r="C24" s="8" t="s">
        <v>108</v>
      </c>
      <c r="D24" s="1">
        <v>10</v>
      </c>
      <c r="E24" s="2">
        <v>550</v>
      </c>
      <c r="F24" s="2">
        <f>D24*E24</f>
        <v>5500</v>
      </c>
      <c r="G24" s="143"/>
    </row>
    <row r="25" spans="1:7" s="5" customFormat="1" x14ac:dyDescent="0.2">
      <c r="A25" s="3">
        <v>122</v>
      </c>
      <c r="B25" s="3" t="s">
        <v>30</v>
      </c>
      <c r="C25" s="3"/>
      <c r="D25" s="3"/>
      <c r="E25" s="3"/>
      <c r="F25" s="142">
        <f>F22+F23+F24</f>
        <v>16500</v>
      </c>
      <c r="G25" s="13"/>
    </row>
    <row r="26" spans="1:7" s="5" customFormat="1" x14ac:dyDescent="0.2">
      <c r="A26" s="14"/>
      <c r="B26" s="14"/>
      <c r="C26" s="14"/>
      <c r="D26" s="14"/>
      <c r="E26" s="14"/>
      <c r="F26" s="13"/>
      <c r="G26" s="30"/>
    </row>
    <row r="27" spans="1:7" s="5" customFormat="1" x14ac:dyDescent="0.2">
      <c r="A27" s="3" t="s">
        <v>5</v>
      </c>
      <c r="B27" s="3" t="s">
        <v>32</v>
      </c>
      <c r="C27" s="3" t="s">
        <v>41</v>
      </c>
      <c r="D27" s="3" t="s">
        <v>34</v>
      </c>
      <c r="E27" s="3" t="s">
        <v>35</v>
      </c>
      <c r="F27" s="4" t="s">
        <v>29</v>
      </c>
      <c r="G27" s="30"/>
    </row>
    <row r="28" spans="1:7" s="5" customFormat="1" x14ac:dyDescent="0.2">
      <c r="A28" s="192">
        <v>10040</v>
      </c>
      <c r="B28" s="192" t="s">
        <v>44</v>
      </c>
      <c r="C28" s="192" t="s">
        <v>42</v>
      </c>
      <c r="D28" s="192">
        <v>1</v>
      </c>
      <c r="E28" s="193">
        <v>30000</v>
      </c>
      <c r="F28" s="193">
        <v>30000</v>
      </c>
      <c r="G28" s="30"/>
    </row>
    <row r="29" spans="1:7" s="5" customFormat="1" x14ac:dyDescent="0.2">
      <c r="A29" s="192">
        <v>10040</v>
      </c>
      <c r="B29" s="192" t="s">
        <v>44</v>
      </c>
      <c r="C29" s="192" t="s">
        <v>42</v>
      </c>
      <c r="D29" s="192">
        <v>1</v>
      </c>
      <c r="E29" s="193">
        <v>30000</v>
      </c>
      <c r="F29" s="193">
        <f t="shared" ref="F29:F30" si="1">E29</f>
        <v>30000</v>
      </c>
      <c r="G29" s="30"/>
    </row>
    <row r="30" spans="1:7" s="5" customFormat="1" x14ac:dyDescent="0.2">
      <c r="A30" s="25">
        <v>10010</v>
      </c>
      <c r="B30" s="25" t="s">
        <v>44</v>
      </c>
      <c r="C30" s="25" t="s">
        <v>42</v>
      </c>
      <c r="D30" s="25">
        <v>1</v>
      </c>
      <c r="E30" s="26">
        <v>30000</v>
      </c>
      <c r="F30" s="26">
        <f t="shared" si="1"/>
        <v>30000</v>
      </c>
      <c r="G30" s="30"/>
    </row>
    <row r="31" spans="1:7" s="5" customFormat="1" x14ac:dyDescent="0.2">
      <c r="A31" s="3">
        <v>226</v>
      </c>
      <c r="B31" s="3" t="s">
        <v>17</v>
      </c>
      <c r="C31" s="3"/>
      <c r="D31" s="3"/>
      <c r="E31" s="3"/>
      <c r="F31" s="4">
        <f>F28+F29+F30</f>
        <v>90000</v>
      </c>
      <c r="G31" s="117"/>
    </row>
    <row r="32" spans="1:7" s="5" customFormat="1" x14ac:dyDescent="0.2">
      <c r="A32" s="106"/>
      <c r="B32" s="106"/>
      <c r="C32" s="106"/>
      <c r="D32" s="106"/>
      <c r="E32" s="106"/>
      <c r="F32" s="116"/>
      <c r="G32" s="30"/>
    </row>
    <row r="33" spans="1:7" s="5" customFormat="1" x14ac:dyDescent="0.2">
      <c r="A33" s="3" t="s">
        <v>5</v>
      </c>
      <c r="B33" s="3" t="s">
        <v>32</v>
      </c>
      <c r="C33" s="3" t="s">
        <v>43</v>
      </c>
      <c r="D33" s="3" t="s">
        <v>34</v>
      </c>
      <c r="E33" s="3" t="s">
        <v>35</v>
      </c>
      <c r="F33" s="4" t="s">
        <v>29</v>
      </c>
      <c r="G33" s="117"/>
    </row>
    <row r="34" spans="1:7" s="5" customFormat="1" x14ac:dyDescent="0.2">
      <c r="A34" s="192">
        <v>10040</v>
      </c>
      <c r="B34" s="195" t="s">
        <v>160</v>
      </c>
      <c r="C34" s="192" t="s">
        <v>108</v>
      </c>
      <c r="D34" s="192">
        <v>10</v>
      </c>
      <c r="E34" s="192">
        <v>1500</v>
      </c>
      <c r="F34" s="193">
        <f>D34*E34</f>
        <v>15000</v>
      </c>
      <c r="G34" s="30"/>
    </row>
    <row r="35" spans="1:7" s="5" customFormat="1" x14ac:dyDescent="0.2">
      <c r="A35" s="192">
        <v>10040</v>
      </c>
      <c r="B35" s="195" t="s">
        <v>160</v>
      </c>
      <c r="C35" s="192" t="s">
        <v>108</v>
      </c>
      <c r="D35" s="192">
        <v>10</v>
      </c>
      <c r="E35" s="192">
        <v>1500</v>
      </c>
      <c r="F35" s="193">
        <f>D35*E35</f>
        <v>15000</v>
      </c>
      <c r="G35" s="30"/>
    </row>
    <row r="36" spans="1:7" s="5" customFormat="1" x14ac:dyDescent="0.2">
      <c r="A36" s="25">
        <v>10010</v>
      </c>
      <c r="B36" s="118" t="s">
        <v>160</v>
      </c>
      <c r="C36" s="25" t="s">
        <v>108</v>
      </c>
      <c r="D36" s="25">
        <v>10</v>
      </c>
      <c r="E36" s="25">
        <v>1500</v>
      </c>
      <c r="F36" s="26">
        <f>D36*E36</f>
        <v>15000</v>
      </c>
      <c r="G36" s="30"/>
    </row>
    <row r="37" spans="1:7" s="5" customFormat="1" x14ac:dyDescent="0.2">
      <c r="A37" s="3">
        <v>226</v>
      </c>
      <c r="B37" s="3" t="s">
        <v>17</v>
      </c>
      <c r="C37" s="3"/>
      <c r="D37" s="3"/>
      <c r="E37" s="3"/>
      <c r="F37" s="4">
        <f>F34+F35+F36</f>
        <v>45000</v>
      </c>
      <c r="G37" s="117"/>
    </row>
    <row r="38" spans="1:7" s="5" customFormat="1" x14ac:dyDescent="0.2">
      <c r="A38" s="14"/>
      <c r="B38" s="14"/>
      <c r="C38" s="14"/>
      <c r="D38" s="14"/>
      <c r="E38" s="14"/>
      <c r="F38" s="13"/>
      <c r="G38" s="30"/>
    </row>
    <row r="39" spans="1:7" x14ac:dyDescent="0.2">
      <c r="A39" s="3" t="s">
        <v>5</v>
      </c>
      <c r="B39" s="3" t="s">
        <v>180</v>
      </c>
      <c r="C39" s="4">
        <f>F18+G25</f>
        <v>687500</v>
      </c>
      <c r="E39" s="162" t="s">
        <v>207</v>
      </c>
      <c r="F39" s="162" t="s">
        <v>206</v>
      </c>
    </row>
    <row r="40" spans="1:7" s="27" customFormat="1" x14ac:dyDescent="0.2">
      <c r="A40" s="192">
        <v>10050</v>
      </c>
      <c r="B40" s="192"/>
      <c r="C40" s="193">
        <v>0</v>
      </c>
      <c r="D40" s="196">
        <f>C40+E40+F40</f>
        <v>0</v>
      </c>
      <c r="E40" s="193">
        <v>0</v>
      </c>
      <c r="F40" s="193">
        <v>0</v>
      </c>
    </row>
    <row r="41" spans="1:7" s="9" customFormat="1" x14ac:dyDescent="0.2">
      <c r="A41" s="197">
        <v>10040</v>
      </c>
      <c r="B41" s="197"/>
      <c r="C41" s="187">
        <f>F7</f>
        <v>137500</v>
      </c>
      <c r="D41" s="196">
        <f t="shared" ref="D41:D42" si="2">C41+E41+F41</f>
        <v>238500</v>
      </c>
      <c r="E41" s="187">
        <f>F22+F23</f>
        <v>11000</v>
      </c>
      <c r="F41" s="187">
        <f>F28+F34+F29+F35</f>
        <v>90000</v>
      </c>
    </row>
    <row r="42" spans="1:7" x14ac:dyDescent="0.2">
      <c r="A42" s="1">
        <v>10010</v>
      </c>
      <c r="B42" s="1"/>
      <c r="C42" s="2">
        <f>F8+F9+F11+F12+F13+F14+F15+F16+F17+F10</f>
        <v>550000</v>
      </c>
      <c r="D42" s="163">
        <f t="shared" si="2"/>
        <v>600500</v>
      </c>
      <c r="E42" s="2">
        <f>F24</f>
        <v>5500</v>
      </c>
      <c r="F42" s="2">
        <f>F30+F36</f>
        <v>45000</v>
      </c>
    </row>
    <row r="43" spans="1:7" s="5" customFormat="1" x14ac:dyDescent="0.2">
      <c r="A43" s="3">
        <v>122</v>
      </c>
      <c r="B43" s="3" t="s">
        <v>17</v>
      </c>
      <c r="C43" s="4">
        <f>C40+C41+C42</f>
        <v>687500</v>
      </c>
      <c r="D43" s="24">
        <f>D40+D41+D42</f>
        <v>839000</v>
      </c>
      <c r="E43" s="4">
        <f>E40+E41+E42</f>
        <v>16500</v>
      </c>
      <c r="F43" s="4">
        <f>F40+F41+F42</f>
        <v>135000</v>
      </c>
    </row>
    <row r="44" spans="1:7" x14ac:dyDescent="0.2">
      <c r="A44" s="12"/>
      <c r="B44" s="12"/>
      <c r="C44" s="117" t="s">
        <v>217</v>
      </c>
      <c r="D44" s="24">
        <f>C43+E43+F43</f>
        <v>839000</v>
      </c>
    </row>
    <row r="45" spans="1:7" s="5" customFormat="1" x14ac:dyDescent="0.2">
      <c r="C45" s="6" t="s">
        <v>182</v>
      </c>
    </row>
    <row r="47" spans="1:7" s="5" customFormat="1" x14ac:dyDescent="0.2">
      <c r="A47" s="3" t="s">
        <v>5</v>
      </c>
      <c r="B47" s="10" t="s">
        <v>40</v>
      </c>
      <c r="C47" s="3" t="s">
        <v>109</v>
      </c>
      <c r="D47" s="10" t="s">
        <v>110</v>
      </c>
      <c r="E47" s="3" t="s">
        <v>4</v>
      </c>
    </row>
    <row r="48" spans="1:7" s="27" customFormat="1" x14ac:dyDescent="0.2">
      <c r="A48" s="25">
        <v>10050</v>
      </c>
      <c r="B48" s="113">
        <f>з.п.!D47</f>
        <v>0</v>
      </c>
      <c r="C48" s="151">
        <f>Взносы!K45</f>
        <v>0</v>
      </c>
      <c r="D48" s="113">
        <f>Взносы!L45</f>
        <v>0</v>
      </c>
      <c r="E48" s="151">
        <f>C48+D48</f>
        <v>0</v>
      </c>
      <c r="F48" s="107"/>
    </row>
    <row r="49" spans="1:7" x14ac:dyDescent="0.2">
      <c r="A49" s="28">
        <v>10040</v>
      </c>
      <c r="B49" s="114">
        <f>з.п.!D48</f>
        <v>4946853.5999999996</v>
      </c>
      <c r="C49" s="114">
        <f>Взносы!K46</f>
        <v>1182430.8936000001</v>
      </c>
      <c r="D49" s="114">
        <f>Взносы!L46</f>
        <v>9893.7071999999989</v>
      </c>
      <c r="E49" s="114">
        <f>C49+D49</f>
        <v>1192324.6008000001</v>
      </c>
      <c r="F49" s="20"/>
    </row>
    <row r="50" spans="1:7" x14ac:dyDescent="0.2">
      <c r="A50" s="28">
        <v>10010</v>
      </c>
      <c r="B50" s="114">
        <f>з.п.!D49</f>
        <v>11670562</v>
      </c>
      <c r="C50" s="114">
        <f>Взносы!K47</f>
        <v>3527969.3206800004</v>
      </c>
      <c r="D50" s="114">
        <f>Взносы!L47</f>
        <v>23341.123000000003</v>
      </c>
      <c r="E50" s="114">
        <f>C50+D50</f>
        <v>3551310.4436800005</v>
      </c>
      <c r="F50" s="20"/>
    </row>
    <row r="51" spans="1:7" s="5" customFormat="1" x14ac:dyDescent="0.2">
      <c r="A51" s="120">
        <v>129</v>
      </c>
      <c r="B51" s="115" t="s">
        <v>17</v>
      </c>
      <c r="C51" s="86">
        <f>C48+C49+C50</f>
        <v>4710400.21428</v>
      </c>
      <c r="D51" s="115">
        <f>D48+D49+D50</f>
        <v>33234.830200000004</v>
      </c>
      <c r="E51" s="115">
        <f>E48++E49+E50</f>
        <v>4743635.0444800006</v>
      </c>
      <c r="F51" s="121"/>
      <c r="G51" s="14"/>
    </row>
    <row r="52" spans="1:7" x14ac:dyDescent="0.2">
      <c r="A52" s="12"/>
      <c r="B52" s="13"/>
      <c r="C52" s="13"/>
      <c r="D52" s="13"/>
      <c r="E52" s="87">
        <f>C51+D51</f>
        <v>4743635.0444799997</v>
      </c>
      <c r="F52" s="20"/>
    </row>
    <row r="53" spans="1:7" x14ac:dyDescent="0.2">
      <c r="A53" s="12"/>
      <c r="B53" s="13"/>
      <c r="C53" s="13"/>
      <c r="D53" s="13"/>
      <c r="E53" s="87"/>
    </row>
    <row r="54" spans="1:7" x14ac:dyDescent="0.2">
      <c r="A54" s="12"/>
      <c r="B54" s="13"/>
      <c r="C54" s="13"/>
      <c r="D54" s="13"/>
      <c r="E54" s="18"/>
    </row>
    <row r="55" spans="1:7" x14ac:dyDescent="0.2">
      <c r="A55" s="12"/>
      <c r="B55" s="13"/>
      <c r="C55" s="13"/>
      <c r="D55" s="13"/>
      <c r="E55" s="18"/>
    </row>
    <row r="56" spans="1:7" s="5" customFormat="1" x14ac:dyDescent="0.2">
      <c r="C56" s="5" t="s">
        <v>185</v>
      </c>
      <c r="G56" s="24">
        <f>G70+F79+F90+F113+F123+F140+F150+F160</f>
        <v>4436592.5999999996</v>
      </c>
    </row>
    <row r="57" spans="1:7" s="5" customFormat="1" x14ac:dyDescent="0.2"/>
    <row r="58" spans="1:7" x14ac:dyDescent="0.2">
      <c r="C58" s="5" t="s">
        <v>151</v>
      </c>
      <c r="D58" s="5"/>
    </row>
    <row r="59" spans="1:7" x14ac:dyDescent="0.2">
      <c r="C59" s="5"/>
      <c r="D59" s="5"/>
    </row>
    <row r="60" spans="1:7" s="5" customFormat="1" x14ac:dyDescent="0.2">
      <c r="A60" s="3" t="s">
        <v>5</v>
      </c>
      <c r="B60" s="3" t="s">
        <v>32</v>
      </c>
      <c r="C60" s="3" t="s">
        <v>41</v>
      </c>
      <c r="D60" s="3" t="s">
        <v>34</v>
      </c>
      <c r="E60" s="3" t="s">
        <v>35</v>
      </c>
      <c r="F60" s="7" t="s">
        <v>37</v>
      </c>
      <c r="G60" s="3" t="s">
        <v>38</v>
      </c>
    </row>
    <row r="61" spans="1:7" x14ac:dyDescent="0.2">
      <c r="A61" s="184">
        <v>10010</v>
      </c>
      <c r="B61" s="184" t="s">
        <v>220</v>
      </c>
      <c r="C61" s="184" t="s">
        <v>45</v>
      </c>
      <c r="D61" s="184">
        <v>12</v>
      </c>
      <c r="E61" s="186">
        <v>811.2</v>
      </c>
      <c r="F61" s="186">
        <v>811.2</v>
      </c>
      <c r="G61" s="186">
        <f>F61*12</f>
        <v>9734.4000000000015</v>
      </c>
    </row>
    <row r="62" spans="1:7" x14ac:dyDescent="0.2">
      <c r="A62" s="184">
        <v>10010</v>
      </c>
      <c r="B62" s="184" t="s">
        <v>210</v>
      </c>
      <c r="C62" s="184" t="s">
        <v>45</v>
      </c>
      <c r="D62" s="184">
        <v>12</v>
      </c>
      <c r="E62" s="186">
        <v>1200</v>
      </c>
      <c r="F62" s="186">
        <v>1200</v>
      </c>
      <c r="G62" s="186">
        <f t="shared" ref="G62:G64" si="3">F62*12</f>
        <v>14400</v>
      </c>
    </row>
    <row r="63" spans="1:7" x14ac:dyDescent="0.2">
      <c r="A63" s="184">
        <v>10010</v>
      </c>
      <c r="B63" s="184" t="s">
        <v>212</v>
      </c>
      <c r="C63" s="184" t="s">
        <v>45</v>
      </c>
      <c r="D63" s="184">
        <v>12</v>
      </c>
      <c r="E63" s="186">
        <v>1000</v>
      </c>
      <c r="F63" s="186">
        <v>1000</v>
      </c>
      <c r="G63" s="186">
        <f>D63*E63</f>
        <v>12000</v>
      </c>
    </row>
    <row r="64" spans="1:7" x14ac:dyDescent="0.2">
      <c r="A64" s="184">
        <v>10010</v>
      </c>
      <c r="B64" s="184" t="s">
        <v>211</v>
      </c>
      <c r="C64" s="184" t="s">
        <v>45</v>
      </c>
      <c r="D64" s="184">
        <v>12</v>
      </c>
      <c r="E64" s="186">
        <v>2500</v>
      </c>
      <c r="F64" s="186">
        <v>2500</v>
      </c>
      <c r="G64" s="186">
        <f t="shared" si="3"/>
        <v>30000</v>
      </c>
    </row>
    <row r="65" spans="1:7" x14ac:dyDescent="0.2">
      <c r="A65" s="184">
        <v>10010</v>
      </c>
      <c r="B65" s="184" t="s">
        <v>208</v>
      </c>
      <c r="C65" s="184" t="s">
        <v>45</v>
      </c>
      <c r="D65" s="184">
        <v>12</v>
      </c>
      <c r="E65" s="186">
        <v>9000</v>
      </c>
      <c r="F65" s="186">
        <v>9000</v>
      </c>
      <c r="G65" s="186">
        <f>F65*12</f>
        <v>108000</v>
      </c>
    </row>
    <row r="66" spans="1:7" ht="25.5" x14ac:dyDescent="0.2">
      <c r="A66" s="184">
        <v>10010</v>
      </c>
      <c r="B66" s="185" t="s">
        <v>209</v>
      </c>
      <c r="C66" s="184" t="s">
        <v>45</v>
      </c>
      <c r="D66" s="184">
        <v>12</v>
      </c>
      <c r="E66" s="186">
        <v>1144</v>
      </c>
      <c r="F66" s="186">
        <v>1144</v>
      </c>
      <c r="G66" s="186">
        <f>F66*12</f>
        <v>13728</v>
      </c>
    </row>
    <row r="67" spans="1:7" x14ac:dyDescent="0.2">
      <c r="A67" s="184">
        <v>10010</v>
      </c>
      <c r="B67" s="198" t="s">
        <v>135</v>
      </c>
      <c r="C67" s="184" t="s">
        <v>42</v>
      </c>
      <c r="D67" s="184">
        <v>300</v>
      </c>
      <c r="E67" s="186">
        <v>33</v>
      </c>
      <c r="F67" s="184"/>
      <c r="G67" s="186">
        <f>D67*E67</f>
        <v>9900</v>
      </c>
    </row>
    <row r="68" spans="1:7" x14ac:dyDescent="0.2">
      <c r="A68" s="184">
        <v>10010</v>
      </c>
      <c r="B68" s="199" t="s">
        <v>136</v>
      </c>
      <c r="C68" s="184" t="s">
        <v>42</v>
      </c>
      <c r="D68" s="184">
        <v>20</v>
      </c>
      <c r="E68" s="186">
        <v>50</v>
      </c>
      <c r="F68" s="184"/>
      <c r="G68" s="186">
        <f>D68*E68</f>
        <v>1000</v>
      </c>
    </row>
    <row r="69" spans="1:7" x14ac:dyDescent="0.2">
      <c r="A69" s="184">
        <v>10010</v>
      </c>
      <c r="B69" s="184" t="s">
        <v>111</v>
      </c>
      <c r="C69" s="184" t="s">
        <v>42</v>
      </c>
      <c r="D69" s="184">
        <v>30</v>
      </c>
      <c r="E69" s="186">
        <v>80</v>
      </c>
      <c r="F69" s="184"/>
      <c r="G69" s="186">
        <f>D69*E69</f>
        <v>2400</v>
      </c>
    </row>
    <row r="70" spans="1:7" s="5" customFormat="1" x14ac:dyDescent="0.2">
      <c r="A70" s="3">
        <v>10010</v>
      </c>
      <c r="B70" s="11" t="s">
        <v>30</v>
      </c>
      <c r="C70" s="11"/>
      <c r="D70" s="3"/>
      <c r="E70" s="122"/>
      <c r="F70" s="3"/>
      <c r="G70" s="122">
        <f>G61+G62+G63+G64+G65+G66+G67+G68+G69</f>
        <v>201162.4</v>
      </c>
    </row>
    <row r="71" spans="1:7" s="5" customFormat="1" x14ac:dyDescent="0.2">
      <c r="A71" s="3">
        <v>10010</v>
      </c>
      <c r="B71" s="11" t="s">
        <v>30</v>
      </c>
      <c r="C71" s="3"/>
      <c r="D71" s="3"/>
      <c r="E71" s="3"/>
      <c r="F71" s="3"/>
      <c r="G71" s="4">
        <f>G61+G62+G63+G64+G65+G66+G67+G68+G69</f>
        <v>201162.4</v>
      </c>
    </row>
    <row r="72" spans="1:7" s="5" customFormat="1" x14ac:dyDescent="0.2">
      <c r="A72" s="14"/>
      <c r="B72" s="88"/>
      <c r="C72" s="14"/>
      <c r="D72" s="14"/>
      <c r="E72" s="14"/>
      <c r="F72" s="14"/>
      <c r="G72" s="117"/>
    </row>
    <row r="73" spans="1:7" s="5" customFormat="1" x14ac:dyDescent="0.2">
      <c r="A73" s="14"/>
      <c r="B73" s="88"/>
      <c r="C73" s="14"/>
      <c r="D73" s="14"/>
      <c r="E73" s="14"/>
      <c r="F73" s="14"/>
      <c r="G73" s="30"/>
    </row>
    <row r="74" spans="1:7" s="5" customFormat="1" x14ac:dyDescent="0.2">
      <c r="A74" s="14"/>
      <c r="B74" s="14"/>
      <c r="C74" s="14"/>
      <c r="D74" s="14"/>
      <c r="E74" s="14"/>
      <c r="F74" s="30"/>
    </row>
    <row r="75" spans="1:7" x14ac:dyDescent="0.2">
      <c r="C75" s="15" t="s">
        <v>152</v>
      </c>
    </row>
    <row r="76" spans="1:7" x14ac:dyDescent="0.2">
      <c r="C76" s="15"/>
    </row>
    <row r="77" spans="1:7" s="5" customFormat="1" x14ac:dyDescent="0.2">
      <c r="A77" s="3" t="s">
        <v>5</v>
      </c>
      <c r="B77" s="3" t="s">
        <v>32</v>
      </c>
      <c r="C77" s="3" t="s">
        <v>43</v>
      </c>
      <c r="D77" s="3" t="s">
        <v>34</v>
      </c>
      <c r="E77" s="3" t="s">
        <v>35</v>
      </c>
      <c r="F77" s="3" t="s">
        <v>29</v>
      </c>
    </row>
    <row r="78" spans="1:7" x14ac:dyDescent="0.2">
      <c r="A78" s="184">
        <v>10010</v>
      </c>
      <c r="B78" s="184" t="s">
        <v>213</v>
      </c>
      <c r="C78" s="200" t="s">
        <v>45</v>
      </c>
      <c r="D78" s="186">
        <v>12</v>
      </c>
      <c r="E78" s="186">
        <v>122805.1</v>
      </c>
      <c r="F78" s="186">
        <f>D78*E78</f>
        <v>1473661.2000000002</v>
      </c>
    </row>
    <row r="79" spans="1:7" s="5" customFormat="1" x14ac:dyDescent="0.2">
      <c r="A79" s="3">
        <v>10010</v>
      </c>
      <c r="B79" s="3" t="s">
        <v>17</v>
      </c>
      <c r="C79" s="3"/>
      <c r="D79" s="3"/>
      <c r="E79" s="3"/>
      <c r="F79" s="4">
        <f>F78</f>
        <v>1473661.2000000002</v>
      </c>
    </row>
    <row r="80" spans="1:7" s="5" customFormat="1" x14ac:dyDescent="0.2">
      <c r="A80" s="14"/>
      <c r="B80" s="14"/>
      <c r="C80" s="14"/>
      <c r="D80" s="14"/>
      <c r="E80" s="14"/>
      <c r="F80" s="117"/>
    </row>
    <row r="81" spans="1:6" s="5" customFormat="1" x14ac:dyDescent="0.2">
      <c r="A81" s="14"/>
      <c r="B81" s="14"/>
      <c r="C81" s="14"/>
      <c r="D81" s="14"/>
      <c r="E81" s="14"/>
      <c r="F81" s="30"/>
    </row>
    <row r="82" spans="1:6" x14ac:dyDescent="0.2">
      <c r="C82" s="15" t="s">
        <v>153</v>
      </c>
    </row>
    <row r="83" spans="1:6" x14ac:dyDescent="0.2">
      <c r="C83" s="15"/>
    </row>
    <row r="84" spans="1:6" s="5" customFormat="1" x14ac:dyDescent="0.2">
      <c r="A84" s="3" t="s">
        <v>5</v>
      </c>
      <c r="B84" s="3" t="s">
        <v>32</v>
      </c>
      <c r="C84" s="3" t="s">
        <v>43</v>
      </c>
      <c r="D84" s="3" t="s">
        <v>34</v>
      </c>
      <c r="E84" s="3" t="s">
        <v>35</v>
      </c>
      <c r="F84" s="3" t="s">
        <v>29</v>
      </c>
    </row>
    <row r="85" spans="1:6" ht="40.9" customHeight="1" x14ac:dyDescent="0.2">
      <c r="A85" s="184">
        <v>10010</v>
      </c>
      <c r="B85" s="201" t="s">
        <v>158</v>
      </c>
      <c r="C85" s="197" t="s">
        <v>46</v>
      </c>
      <c r="D85" s="184">
        <v>4</v>
      </c>
      <c r="E85" s="186">
        <v>20000</v>
      </c>
      <c r="F85" s="186">
        <f>D85*E85</f>
        <v>80000</v>
      </c>
    </row>
    <row r="86" spans="1:6" x14ac:dyDescent="0.2">
      <c r="A86" s="184">
        <v>10010</v>
      </c>
      <c r="B86" s="184" t="s">
        <v>157</v>
      </c>
      <c r="C86" s="184" t="s">
        <v>45</v>
      </c>
      <c r="D86" s="184">
        <v>10</v>
      </c>
      <c r="E86" s="186">
        <v>3200</v>
      </c>
      <c r="F86" s="186">
        <f>D86*E86</f>
        <v>32000</v>
      </c>
    </row>
    <row r="87" spans="1:6" x14ac:dyDescent="0.2">
      <c r="A87" s="184">
        <v>10010</v>
      </c>
      <c r="B87" s="184" t="s">
        <v>125</v>
      </c>
      <c r="C87" s="184" t="s">
        <v>42</v>
      </c>
      <c r="D87" s="184">
        <v>1</v>
      </c>
      <c r="E87" s="186">
        <v>974</v>
      </c>
      <c r="F87" s="186">
        <f>D87*E87</f>
        <v>974</v>
      </c>
    </row>
    <row r="88" spans="1:6" s="9" customFormat="1" x14ac:dyDescent="0.2">
      <c r="A88" s="197">
        <v>10010</v>
      </c>
      <c r="B88" s="184" t="s">
        <v>172</v>
      </c>
      <c r="C88" s="197" t="s">
        <v>45</v>
      </c>
      <c r="D88" s="197">
        <v>12</v>
      </c>
      <c r="E88" s="187">
        <v>5400</v>
      </c>
      <c r="F88" s="187">
        <f>D88*E88</f>
        <v>64800</v>
      </c>
    </row>
    <row r="89" spans="1:6" ht="25.5" x14ac:dyDescent="0.2">
      <c r="A89" s="197">
        <v>10010</v>
      </c>
      <c r="B89" s="202" t="s">
        <v>221</v>
      </c>
      <c r="C89" s="197" t="s">
        <v>46</v>
      </c>
      <c r="D89" s="184">
        <v>5</v>
      </c>
      <c r="E89" s="186">
        <v>7200</v>
      </c>
      <c r="F89" s="186">
        <f>D89*E89</f>
        <v>36000</v>
      </c>
    </row>
    <row r="90" spans="1:6" s="5" customFormat="1" x14ac:dyDescent="0.2">
      <c r="A90" s="11">
        <v>10010</v>
      </c>
      <c r="B90" s="11" t="s">
        <v>30</v>
      </c>
      <c r="C90" s="11"/>
      <c r="D90" s="3"/>
      <c r="E90" s="4"/>
      <c r="F90" s="4">
        <f>F85+F86+F87+F88+F89</f>
        <v>213774</v>
      </c>
    </row>
    <row r="91" spans="1:6" s="5" customFormat="1" x14ac:dyDescent="0.2">
      <c r="A91" s="21">
        <v>10010</v>
      </c>
      <c r="B91" s="11" t="s">
        <v>178</v>
      </c>
      <c r="C91" s="3"/>
      <c r="D91" s="3"/>
      <c r="E91" s="3"/>
      <c r="F91" s="4">
        <f>F85+F86+F87+F88+F89</f>
        <v>213774</v>
      </c>
    </row>
    <row r="92" spans="1:6" x14ac:dyDescent="0.2">
      <c r="F92" s="154"/>
    </row>
    <row r="93" spans="1:6" x14ac:dyDescent="0.2">
      <c r="F93" s="29"/>
    </row>
    <row r="94" spans="1:6" s="5" customFormat="1" x14ac:dyDescent="0.2">
      <c r="C94" s="5" t="s">
        <v>154</v>
      </c>
    </row>
    <row r="95" spans="1:6" s="5" customFormat="1" x14ac:dyDescent="0.2"/>
    <row r="96" spans="1:6" s="5" customFormat="1" x14ac:dyDescent="0.2">
      <c r="A96" s="3" t="s">
        <v>5</v>
      </c>
      <c r="B96" s="3" t="s">
        <v>32</v>
      </c>
      <c r="C96" s="3" t="s">
        <v>43</v>
      </c>
      <c r="D96" s="3" t="s">
        <v>34</v>
      </c>
      <c r="E96" s="3" t="s">
        <v>35</v>
      </c>
      <c r="F96" s="3" t="s">
        <v>29</v>
      </c>
    </row>
    <row r="97" spans="1:7" x14ac:dyDescent="0.2">
      <c r="A97" s="184">
        <v>10010</v>
      </c>
      <c r="B97" s="199" t="s">
        <v>260</v>
      </c>
      <c r="C97" s="184" t="s">
        <v>126</v>
      </c>
      <c r="D97" s="184">
        <v>1</v>
      </c>
      <c r="E97" s="186">
        <v>56416</v>
      </c>
      <c r="F97" s="187">
        <f t="shared" ref="F97:F112" si="4">D97*E97</f>
        <v>56416</v>
      </c>
      <c r="G97" s="23"/>
    </row>
    <row r="98" spans="1:7" x14ac:dyDescent="0.2">
      <c r="A98" s="184">
        <v>10010</v>
      </c>
      <c r="B98" s="184" t="s">
        <v>257</v>
      </c>
      <c r="C98" s="184" t="s">
        <v>42</v>
      </c>
      <c r="D98" s="184">
        <v>1</v>
      </c>
      <c r="E98" s="186">
        <v>12150</v>
      </c>
      <c r="F98" s="187">
        <f>D98*E98</f>
        <v>12150</v>
      </c>
      <c r="G98" s="23"/>
    </row>
    <row r="99" spans="1:7" ht="26.45" customHeight="1" x14ac:dyDescent="0.2">
      <c r="A99" s="184">
        <v>10010</v>
      </c>
      <c r="B99" s="185" t="s">
        <v>249</v>
      </c>
      <c r="C99" s="184" t="s">
        <v>159</v>
      </c>
      <c r="D99" s="184">
        <v>12</v>
      </c>
      <c r="E99" s="186">
        <v>13520</v>
      </c>
      <c r="F99" s="187">
        <f>D99*E99</f>
        <v>162240</v>
      </c>
      <c r="G99" s="23"/>
    </row>
    <row r="100" spans="1:7" ht="18.600000000000001" customHeight="1" x14ac:dyDescent="0.2">
      <c r="A100" s="184">
        <v>10010</v>
      </c>
      <c r="B100" s="184" t="s">
        <v>214</v>
      </c>
      <c r="C100" s="184" t="s">
        <v>159</v>
      </c>
      <c r="D100" s="184">
        <v>5</v>
      </c>
      <c r="E100" s="186">
        <v>3500</v>
      </c>
      <c r="F100" s="187">
        <f>D100*E100</f>
        <v>17500</v>
      </c>
      <c r="G100" s="23"/>
    </row>
    <row r="101" spans="1:7" ht="25.5" x14ac:dyDescent="0.2">
      <c r="A101" s="184">
        <v>10010</v>
      </c>
      <c r="B101" s="185" t="s">
        <v>261</v>
      </c>
      <c r="C101" s="184" t="s">
        <v>45</v>
      </c>
      <c r="D101" s="184">
        <v>10</v>
      </c>
      <c r="E101" s="186">
        <v>1692</v>
      </c>
      <c r="F101" s="187">
        <f>D101*E101</f>
        <v>16920</v>
      </c>
    </row>
    <row r="102" spans="1:7" ht="25.5" x14ac:dyDescent="0.2">
      <c r="A102" s="184">
        <v>10010</v>
      </c>
      <c r="B102" s="185" t="s">
        <v>250</v>
      </c>
      <c r="C102" s="184" t="s">
        <v>45</v>
      </c>
      <c r="D102" s="184">
        <v>12</v>
      </c>
      <c r="E102" s="186">
        <v>34309.99</v>
      </c>
      <c r="F102" s="187">
        <f>(15172.99*12)+(19137*12)</f>
        <v>411719.88</v>
      </c>
    </row>
    <row r="103" spans="1:7" ht="25.5" x14ac:dyDescent="0.2">
      <c r="A103" s="184">
        <v>10010</v>
      </c>
      <c r="B103" s="185" t="s">
        <v>259</v>
      </c>
      <c r="C103" s="184" t="s">
        <v>42</v>
      </c>
      <c r="D103" s="184">
        <v>1</v>
      </c>
      <c r="E103" s="186">
        <v>17795</v>
      </c>
      <c r="F103" s="187">
        <f>D103*E103</f>
        <v>17795</v>
      </c>
    </row>
    <row r="104" spans="1:7" ht="25.5" hidden="1" x14ac:dyDescent="0.2">
      <c r="A104" s="184">
        <v>10010</v>
      </c>
      <c r="B104" s="185" t="s">
        <v>251</v>
      </c>
      <c r="C104" s="184" t="s">
        <v>42</v>
      </c>
      <c r="D104" s="184">
        <v>1</v>
      </c>
      <c r="E104" s="186">
        <v>16920.8</v>
      </c>
      <c r="F104" s="187">
        <f t="shared" si="4"/>
        <v>16920.8</v>
      </c>
    </row>
    <row r="105" spans="1:7" hidden="1" x14ac:dyDescent="0.2">
      <c r="A105" s="184"/>
      <c r="B105" s="185"/>
      <c r="C105" s="184"/>
      <c r="D105" s="184"/>
      <c r="E105" s="186"/>
      <c r="F105" s="187"/>
    </row>
    <row r="106" spans="1:7" ht="25.5" x14ac:dyDescent="0.2">
      <c r="A106" s="184">
        <v>10010</v>
      </c>
      <c r="B106" s="185" t="s">
        <v>215</v>
      </c>
      <c r="C106" s="184" t="s">
        <v>36</v>
      </c>
      <c r="D106" s="184">
        <v>20</v>
      </c>
      <c r="E106" s="186">
        <v>14820</v>
      </c>
      <c r="F106" s="187">
        <f>D106*E106</f>
        <v>296400</v>
      </c>
    </row>
    <row r="107" spans="1:7" x14ac:dyDescent="0.2">
      <c r="A107" s="184">
        <v>10010</v>
      </c>
      <c r="B107" s="184" t="s">
        <v>262</v>
      </c>
      <c r="C107" s="184" t="s">
        <v>42</v>
      </c>
      <c r="D107" s="184">
        <v>1</v>
      </c>
      <c r="E107" s="186">
        <v>7414</v>
      </c>
      <c r="F107" s="187">
        <f>D107*E107</f>
        <v>7414</v>
      </c>
    </row>
    <row r="108" spans="1:7" x14ac:dyDescent="0.2">
      <c r="A108" s="184">
        <v>10010</v>
      </c>
      <c r="B108" s="198" t="s">
        <v>161</v>
      </c>
      <c r="C108" s="184" t="s">
        <v>47</v>
      </c>
      <c r="D108" s="184">
        <v>10</v>
      </c>
      <c r="E108" s="186">
        <v>7680</v>
      </c>
      <c r="F108" s="187">
        <f t="shared" si="4"/>
        <v>76800</v>
      </c>
    </row>
    <row r="109" spans="1:7" x14ac:dyDescent="0.2">
      <c r="A109" s="184">
        <v>10010</v>
      </c>
      <c r="B109" s="198" t="s">
        <v>173</v>
      </c>
      <c r="C109" s="184" t="s">
        <v>47</v>
      </c>
      <c r="D109" s="184">
        <v>20</v>
      </c>
      <c r="E109" s="186">
        <v>6620</v>
      </c>
      <c r="F109" s="187">
        <f t="shared" si="4"/>
        <v>132400</v>
      </c>
    </row>
    <row r="110" spans="1:7" ht="25.5" x14ac:dyDescent="0.2">
      <c r="A110" s="184">
        <v>10010</v>
      </c>
      <c r="B110" s="203" t="s">
        <v>216</v>
      </c>
      <c r="C110" s="184" t="s">
        <v>46</v>
      </c>
      <c r="D110" s="184">
        <v>4</v>
      </c>
      <c r="E110" s="186">
        <v>24700</v>
      </c>
      <c r="F110" s="187">
        <f t="shared" si="4"/>
        <v>98800</v>
      </c>
    </row>
    <row r="111" spans="1:7" x14ac:dyDescent="0.2">
      <c r="A111" s="184">
        <v>10010</v>
      </c>
      <c r="B111" s="203" t="s">
        <v>190</v>
      </c>
      <c r="C111" s="184" t="s">
        <v>191</v>
      </c>
      <c r="D111" s="184">
        <v>13</v>
      </c>
      <c r="E111" s="186">
        <v>14040</v>
      </c>
      <c r="F111" s="187">
        <f t="shared" si="4"/>
        <v>182520</v>
      </c>
    </row>
    <row r="112" spans="1:7" ht="25.5" x14ac:dyDescent="0.2">
      <c r="A112" s="184">
        <v>10010</v>
      </c>
      <c r="B112" s="203" t="s">
        <v>258</v>
      </c>
      <c r="C112" s="184" t="s">
        <v>48</v>
      </c>
      <c r="D112" s="184">
        <v>384</v>
      </c>
      <c r="E112" s="186">
        <v>164</v>
      </c>
      <c r="F112" s="187">
        <f t="shared" si="4"/>
        <v>62976</v>
      </c>
    </row>
    <row r="113" spans="1:7" s="5" customFormat="1" x14ac:dyDescent="0.2">
      <c r="A113" s="3">
        <v>10010</v>
      </c>
      <c r="B113" s="16" t="s">
        <v>30</v>
      </c>
      <c r="C113" s="11"/>
      <c r="D113" s="3"/>
      <c r="E113" s="4"/>
      <c r="F113" s="4">
        <f>F97+F98+F99+F100+F102+F103+F104+F105+F106+F107+F108+F109+F110+F111+F112</f>
        <v>1552051.6800000002</v>
      </c>
    </row>
    <row r="114" spans="1:7" s="5" customFormat="1" x14ac:dyDescent="0.2">
      <c r="A114" s="3">
        <v>10010</v>
      </c>
      <c r="B114" s="16" t="s">
        <v>178</v>
      </c>
      <c r="C114" s="3"/>
      <c r="D114" s="3"/>
      <c r="E114" s="3"/>
      <c r="F114" s="4">
        <f>F97+F98+F99+F100+F102+F103+F104+F105+F106+F107+F108+F109+F110+F111+F112</f>
        <v>1552051.6800000002</v>
      </c>
      <c r="G114" s="24"/>
    </row>
    <row r="115" spans="1:7" x14ac:dyDescent="0.2">
      <c r="F115" s="154"/>
    </row>
    <row r="116" spans="1:7" x14ac:dyDescent="0.2">
      <c r="F116" s="29"/>
    </row>
    <row r="117" spans="1:7" x14ac:dyDescent="0.2">
      <c r="A117" s="5"/>
      <c r="B117" s="5"/>
      <c r="C117" s="5" t="s">
        <v>156</v>
      </c>
      <c r="D117" s="5"/>
      <c r="E117" s="5"/>
      <c r="F117" s="5"/>
      <c r="G117" s="24"/>
    </row>
    <row r="118" spans="1:7" x14ac:dyDescent="0.2">
      <c r="A118" s="5"/>
      <c r="B118" s="5"/>
      <c r="C118" s="5" t="s">
        <v>186</v>
      </c>
      <c r="D118" s="5"/>
      <c r="E118" s="5"/>
      <c r="F118" s="5"/>
      <c r="G118" s="164"/>
    </row>
    <row r="120" spans="1:7" x14ac:dyDescent="0.2">
      <c r="A120" s="3" t="s">
        <v>5</v>
      </c>
      <c r="B120" s="3" t="s">
        <v>32</v>
      </c>
      <c r="C120" s="3" t="s">
        <v>43</v>
      </c>
      <c r="D120" s="3" t="s">
        <v>34</v>
      </c>
      <c r="E120" s="3" t="s">
        <v>35</v>
      </c>
      <c r="F120" s="3" t="s">
        <v>29</v>
      </c>
    </row>
    <row r="121" spans="1:7" ht="25.5" x14ac:dyDescent="0.2">
      <c r="A121" s="184">
        <v>10010</v>
      </c>
      <c r="B121" s="185" t="s">
        <v>263</v>
      </c>
      <c r="C121" s="198" t="s">
        <v>50</v>
      </c>
      <c r="D121" s="184">
        <v>2976</v>
      </c>
      <c r="E121" s="186">
        <v>56.32</v>
      </c>
      <c r="F121" s="186">
        <f>D121*E121</f>
        <v>167608.32000000001</v>
      </c>
    </row>
    <row r="122" spans="1:7" x14ac:dyDescent="0.2">
      <c r="A122" s="184">
        <v>10010</v>
      </c>
      <c r="B122" s="198" t="s">
        <v>169</v>
      </c>
      <c r="C122" s="198" t="s">
        <v>50</v>
      </c>
      <c r="D122" s="184">
        <v>13</v>
      </c>
      <c r="E122" s="186">
        <v>600</v>
      </c>
      <c r="F122" s="186">
        <f>D122*E122</f>
        <v>7800</v>
      </c>
    </row>
    <row r="123" spans="1:7" x14ac:dyDescent="0.2">
      <c r="A123" s="3">
        <v>10010</v>
      </c>
      <c r="B123" s="7" t="s">
        <v>30</v>
      </c>
      <c r="C123" s="7"/>
      <c r="D123" s="3"/>
      <c r="E123" s="4"/>
      <c r="F123" s="4">
        <f>F121+F122</f>
        <v>175408.32</v>
      </c>
    </row>
    <row r="124" spans="1:7" x14ac:dyDescent="0.2">
      <c r="A124" s="12"/>
      <c r="B124" s="152"/>
      <c r="C124" s="152"/>
      <c r="D124" s="12"/>
      <c r="E124" s="143"/>
      <c r="F124" s="166"/>
    </row>
    <row r="125" spans="1:7" x14ac:dyDescent="0.2">
      <c r="A125" s="12"/>
      <c r="B125" s="152"/>
      <c r="C125" s="153" t="s">
        <v>187</v>
      </c>
      <c r="D125" s="14"/>
      <c r="E125" s="13"/>
      <c r="F125" s="143"/>
    </row>
    <row r="126" spans="1:7" x14ac:dyDescent="0.2">
      <c r="A126" s="12"/>
      <c r="B126" s="152"/>
      <c r="C126" s="153" t="s">
        <v>188</v>
      </c>
      <c r="D126" s="14"/>
      <c r="E126" s="13"/>
      <c r="F126" s="143"/>
    </row>
    <row r="127" spans="1:7" x14ac:dyDescent="0.2">
      <c r="A127" s="12"/>
      <c r="B127" s="152"/>
      <c r="C127" s="152"/>
      <c r="D127" s="12"/>
      <c r="E127" s="143"/>
      <c r="F127" s="143"/>
    </row>
    <row r="128" spans="1:7" x14ac:dyDescent="0.2">
      <c r="A128" s="184">
        <v>10010</v>
      </c>
      <c r="B128" s="198" t="s">
        <v>49</v>
      </c>
      <c r="C128" s="184" t="s">
        <v>141</v>
      </c>
      <c r="D128" s="184">
        <v>4</v>
      </c>
      <c r="E128" s="184">
        <v>2000</v>
      </c>
      <c r="F128" s="186">
        <f>D128*E128</f>
        <v>8000</v>
      </c>
    </row>
    <row r="129" spans="1:6" x14ac:dyDescent="0.2">
      <c r="A129" s="184">
        <v>10010</v>
      </c>
      <c r="B129" s="199" t="s">
        <v>51</v>
      </c>
      <c r="C129" s="184" t="s">
        <v>42</v>
      </c>
      <c r="D129" s="184">
        <v>1</v>
      </c>
      <c r="E129" s="186">
        <v>1500</v>
      </c>
      <c r="F129" s="186">
        <f t="shared" ref="F129:F131" si="5">D129*E129</f>
        <v>1500</v>
      </c>
    </row>
    <row r="130" spans="1:6" x14ac:dyDescent="0.2">
      <c r="A130" s="184">
        <v>10010</v>
      </c>
      <c r="B130" s="184" t="s">
        <v>164</v>
      </c>
      <c r="C130" s="184" t="s">
        <v>42</v>
      </c>
      <c r="D130" s="184">
        <v>1</v>
      </c>
      <c r="E130" s="186">
        <v>250195</v>
      </c>
      <c r="F130" s="186">
        <f t="shared" si="5"/>
        <v>250195</v>
      </c>
    </row>
    <row r="131" spans="1:6" ht="25.5" x14ac:dyDescent="0.2">
      <c r="A131" s="184">
        <v>10010</v>
      </c>
      <c r="B131" s="185" t="s">
        <v>189</v>
      </c>
      <c r="C131" s="184" t="s">
        <v>42</v>
      </c>
      <c r="D131" s="184">
        <v>100</v>
      </c>
      <c r="E131" s="186">
        <v>187.2</v>
      </c>
      <c r="F131" s="186">
        <f t="shared" si="5"/>
        <v>18720</v>
      </c>
    </row>
    <row r="132" spans="1:6" x14ac:dyDescent="0.2">
      <c r="A132" s="184">
        <v>10010</v>
      </c>
      <c r="B132" s="184" t="s">
        <v>165</v>
      </c>
      <c r="C132" s="184" t="s">
        <v>42</v>
      </c>
      <c r="D132" s="184">
        <v>5</v>
      </c>
      <c r="E132" s="186">
        <v>200</v>
      </c>
      <c r="F132" s="186">
        <f>D132*E132</f>
        <v>1000</v>
      </c>
    </row>
    <row r="133" spans="1:6" x14ac:dyDescent="0.2">
      <c r="A133" s="184">
        <v>10010</v>
      </c>
      <c r="B133" s="184" t="s">
        <v>167</v>
      </c>
      <c r="C133" s="184" t="s">
        <v>168</v>
      </c>
      <c r="D133" s="184">
        <v>2</v>
      </c>
      <c r="E133" s="186">
        <v>110</v>
      </c>
      <c r="F133" s="186">
        <f>D133*E133</f>
        <v>220</v>
      </c>
    </row>
    <row r="134" spans="1:6" x14ac:dyDescent="0.2">
      <c r="A134" s="184">
        <v>10010</v>
      </c>
      <c r="B134" s="184" t="s">
        <v>166</v>
      </c>
      <c r="C134" s="184" t="s">
        <v>42</v>
      </c>
      <c r="D134" s="184">
        <v>100</v>
      </c>
      <c r="E134" s="186">
        <v>20</v>
      </c>
      <c r="F134" s="186">
        <f>D134*E134</f>
        <v>2000</v>
      </c>
    </row>
    <row r="135" spans="1:6" x14ac:dyDescent="0.2">
      <c r="A135" s="184">
        <v>10010</v>
      </c>
      <c r="B135" s="204" t="s">
        <v>52</v>
      </c>
      <c r="C135" s="184" t="s">
        <v>42</v>
      </c>
      <c r="D135" s="184">
        <v>10</v>
      </c>
      <c r="E135" s="186">
        <v>3000</v>
      </c>
      <c r="F135" s="186">
        <f>D135*E135</f>
        <v>30000</v>
      </c>
    </row>
    <row r="136" spans="1:6" x14ac:dyDescent="0.2">
      <c r="A136" s="184">
        <v>10010</v>
      </c>
      <c r="B136" s="184" t="s">
        <v>163</v>
      </c>
      <c r="C136" s="184" t="s">
        <v>42</v>
      </c>
      <c r="D136" s="184">
        <v>2</v>
      </c>
      <c r="E136" s="186">
        <v>3000</v>
      </c>
      <c r="F136" s="186">
        <f t="shared" ref="F136" si="6">D136*E136</f>
        <v>6000</v>
      </c>
    </row>
    <row r="137" spans="1:6" x14ac:dyDescent="0.2">
      <c r="A137" s="184">
        <v>10010</v>
      </c>
      <c r="B137" s="184" t="s">
        <v>162</v>
      </c>
      <c r="C137" s="184" t="s">
        <v>42</v>
      </c>
      <c r="D137" s="184">
        <v>2</v>
      </c>
      <c r="E137" s="186">
        <v>5000</v>
      </c>
      <c r="F137" s="186">
        <f>D137*E137</f>
        <v>10000</v>
      </c>
    </row>
    <row r="138" spans="1:6" x14ac:dyDescent="0.2">
      <c r="A138" s="184">
        <v>10010</v>
      </c>
      <c r="B138" s="184" t="s">
        <v>170</v>
      </c>
      <c r="C138" s="184" t="s">
        <v>42</v>
      </c>
      <c r="D138" s="184">
        <v>100</v>
      </c>
      <c r="E138" s="186">
        <v>30</v>
      </c>
      <c r="F138" s="186">
        <f>D138*E138</f>
        <v>3000</v>
      </c>
    </row>
    <row r="139" spans="1:6" x14ac:dyDescent="0.2">
      <c r="A139" s="184">
        <v>10010</v>
      </c>
      <c r="B139" s="184" t="s">
        <v>112</v>
      </c>
      <c r="C139" s="184" t="s">
        <v>42</v>
      </c>
      <c r="D139" s="184">
        <v>4</v>
      </c>
      <c r="E139" s="186">
        <v>7000</v>
      </c>
      <c r="F139" s="186">
        <f>D139*E139</f>
        <v>28000</v>
      </c>
    </row>
    <row r="140" spans="1:6" x14ac:dyDescent="0.2">
      <c r="A140" s="3">
        <v>10010</v>
      </c>
      <c r="B140" s="3" t="s">
        <v>30</v>
      </c>
      <c r="C140" s="3"/>
      <c r="D140" s="3"/>
      <c r="E140" s="3"/>
      <c r="F140" s="4">
        <f>F128+F129+F130+F131+F132+F133+F134+F135+F136+F137+F138+F139</f>
        <v>358635</v>
      </c>
    </row>
    <row r="141" spans="1:6" x14ac:dyDescent="0.2">
      <c r="A141" s="3"/>
      <c r="B141" s="3" t="s">
        <v>178</v>
      </c>
      <c r="C141" s="3"/>
      <c r="D141" s="3"/>
      <c r="E141" s="3"/>
      <c r="F141" s="4">
        <f>F140</f>
        <v>358635</v>
      </c>
    </row>
    <row r="142" spans="1:6" x14ac:dyDescent="0.2">
      <c r="A142" s="14"/>
      <c r="B142" s="14"/>
      <c r="C142" s="14"/>
      <c r="D142" s="14"/>
      <c r="E142" s="14"/>
      <c r="F142" s="166"/>
    </row>
    <row r="143" spans="1:6" x14ac:dyDescent="0.2">
      <c r="B143" s="5"/>
      <c r="C143" s="5" t="s">
        <v>193</v>
      </c>
      <c r="D143" s="5"/>
      <c r="E143" s="5"/>
      <c r="F143" s="154"/>
    </row>
    <row r="144" spans="1:6" x14ac:dyDescent="0.2">
      <c r="C144" s="5" t="s">
        <v>192</v>
      </c>
      <c r="D144" s="5"/>
      <c r="E144" s="5"/>
      <c r="F144" s="29"/>
    </row>
    <row r="145" spans="1:7" x14ac:dyDescent="0.2">
      <c r="A145" s="184">
        <v>10010</v>
      </c>
      <c r="B145" s="184" t="s">
        <v>53</v>
      </c>
      <c r="C145" s="184" t="s">
        <v>42</v>
      </c>
      <c r="D145" s="184">
        <v>200</v>
      </c>
      <c r="E145" s="184">
        <v>50</v>
      </c>
      <c r="F145" s="193">
        <f>D145*E145</f>
        <v>10000</v>
      </c>
    </row>
    <row r="146" spans="1:7" ht="16.899999999999999" customHeight="1" x14ac:dyDescent="0.2">
      <c r="A146" s="184">
        <v>10010</v>
      </c>
      <c r="B146" s="184" t="s">
        <v>222</v>
      </c>
      <c r="C146" s="184" t="s">
        <v>42</v>
      </c>
      <c r="D146" s="184">
        <v>100</v>
      </c>
      <c r="E146" s="184">
        <v>189</v>
      </c>
      <c r="F146" s="193">
        <f t="shared" ref="F146:F149" si="7">D146*E146</f>
        <v>18900</v>
      </c>
    </row>
    <row r="147" spans="1:7" ht="38.25" x14ac:dyDescent="0.2">
      <c r="A147" s="184">
        <v>10010</v>
      </c>
      <c r="B147" s="185" t="s">
        <v>197</v>
      </c>
      <c r="C147" s="185" t="s">
        <v>46</v>
      </c>
      <c r="D147" s="185">
        <v>4</v>
      </c>
      <c r="E147" s="185">
        <v>22500</v>
      </c>
      <c r="F147" s="193">
        <f t="shared" si="7"/>
        <v>90000</v>
      </c>
      <c r="G147" s="155"/>
    </row>
    <row r="148" spans="1:7" x14ac:dyDescent="0.2">
      <c r="A148" s="184">
        <v>10010</v>
      </c>
      <c r="B148" s="185" t="s">
        <v>194</v>
      </c>
      <c r="C148" s="185" t="s">
        <v>42</v>
      </c>
      <c r="D148" s="185">
        <v>30</v>
      </c>
      <c r="E148" s="185">
        <v>2500</v>
      </c>
      <c r="F148" s="193">
        <f>D148*E148</f>
        <v>75000</v>
      </c>
      <c r="G148" s="155"/>
    </row>
    <row r="149" spans="1:7" x14ac:dyDescent="0.2">
      <c r="A149" s="184">
        <v>10010</v>
      </c>
      <c r="B149" s="185" t="s">
        <v>195</v>
      </c>
      <c r="C149" s="185" t="s">
        <v>42</v>
      </c>
      <c r="D149" s="185">
        <v>30</v>
      </c>
      <c r="E149" s="184">
        <v>2600</v>
      </c>
      <c r="F149" s="193">
        <f t="shared" si="7"/>
        <v>78000</v>
      </c>
    </row>
    <row r="150" spans="1:7" x14ac:dyDescent="0.2">
      <c r="A150" s="3">
        <v>10010</v>
      </c>
      <c r="B150" s="3" t="s">
        <v>30</v>
      </c>
      <c r="C150" s="3"/>
      <c r="D150" s="3"/>
      <c r="E150" s="3"/>
      <c r="F150" s="156">
        <f>F145+F146+F147+F148+F149</f>
        <v>271900</v>
      </c>
      <c r="G150" s="23"/>
    </row>
    <row r="151" spans="1:7" x14ac:dyDescent="0.2">
      <c r="A151" s="14"/>
      <c r="B151" s="14"/>
      <c r="C151" s="14"/>
      <c r="D151" s="14"/>
      <c r="E151" s="14"/>
      <c r="F151" s="117"/>
    </row>
    <row r="152" spans="1:7" x14ac:dyDescent="0.2">
      <c r="A152" s="14"/>
      <c r="B152" s="14"/>
      <c r="C152" s="14"/>
      <c r="D152" s="14"/>
      <c r="E152" s="14"/>
      <c r="F152" s="157"/>
    </row>
    <row r="153" spans="1:7" x14ac:dyDescent="0.2">
      <c r="A153" s="5"/>
      <c r="B153" s="5"/>
      <c r="C153" s="5" t="s">
        <v>155</v>
      </c>
      <c r="D153" s="5"/>
      <c r="E153" s="5"/>
      <c r="F153" s="5"/>
    </row>
    <row r="154" spans="1:7" x14ac:dyDescent="0.2">
      <c r="A154" s="5"/>
      <c r="B154" s="5"/>
      <c r="C154" s="5"/>
      <c r="D154" s="5"/>
      <c r="E154" s="5"/>
      <c r="F154" s="5"/>
    </row>
    <row r="155" spans="1:7" x14ac:dyDescent="0.2">
      <c r="A155" s="3" t="s">
        <v>5</v>
      </c>
      <c r="B155" s="3" t="s">
        <v>32</v>
      </c>
      <c r="C155" s="3" t="s">
        <v>43</v>
      </c>
      <c r="D155" s="3" t="s">
        <v>34</v>
      </c>
      <c r="E155" s="3" t="s">
        <v>35</v>
      </c>
      <c r="F155" s="3" t="s">
        <v>29</v>
      </c>
    </row>
    <row r="156" spans="1:7" x14ac:dyDescent="0.2">
      <c r="A156" s="184">
        <v>244</v>
      </c>
      <c r="B156" s="199" t="s">
        <v>252</v>
      </c>
      <c r="C156" s="184" t="s">
        <v>42</v>
      </c>
      <c r="D156" s="184">
        <v>1</v>
      </c>
      <c r="E156" s="184">
        <v>130000</v>
      </c>
      <c r="F156" s="187">
        <f>D156*E156</f>
        <v>130000</v>
      </c>
    </row>
    <row r="157" spans="1:7" x14ac:dyDescent="0.2">
      <c r="A157" s="184">
        <v>244</v>
      </c>
      <c r="B157" s="199" t="s">
        <v>253</v>
      </c>
      <c r="C157" s="184" t="s">
        <v>42</v>
      </c>
      <c r="D157" s="184">
        <v>1</v>
      </c>
      <c r="E157" s="184">
        <v>20000</v>
      </c>
      <c r="F157" s="187">
        <f>E157</f>
        <v>20000</v>
      </c>
    </row>
    <row r="158" spans="1:7" x14ac:dyDescent="0.2">
      <c r="A158" s="184">
        <v>244</v>
      </c>
      <c r="B158" s="199" t="s">
        <v>255</v>
      </c>
      <c r="C158" s="184" t="s">
        <v>42</v>
      </c>
      <c r="D158" s="184">
        <v>1</v>
      </c>
      <c r="E158" s="184">
        <v>70000</v>
      </c>
      <c r="F158" s="187">
        <v>70000</v>
      </c>
    </row>
    <row r="159" spans="1:7" x14ac:dyDescent="0.2">
      <c r="A159" s="184">
        <v>244</v>
      </c>
      <c r="B159" s="199" t="s">
        <v>254</v>
      </c>
      <c r="C159" s="184" t="s">
        <v>42</v>
      </c>
      <c r="D159" s="184">
        <v>5</v>
      </c>
      <c r="E159" s="184">
        <v>12000</v>
      </c>
      <c r="F159" s="187">
        <v>60000</v>
      </c>
    </row>
    <row r="160" spans="1:7" x14ac:dyDescent="0.2">
      <c r="A160" s="3">
        <v>244</v>
      </c>
      <c r="B160" s="10" t="s">
        <v>17</v>
      </c>
      <c r="C160" s="3"/>
      <c r="D160" s="3"/>
      <c r="E160" s="3"/>
      <c r="F160" s="4">
        <f>F156+F159</f>
        <v>190000</v>
      </c>
    </row>
    <row r="161" spans="1:6" x14ac:dyDescent="0.2">
      <c r="A161" s="21">
        <v>244</v>
      </c>
      <c r="B161" s="3" t="s">
        <v>178</v>
      </c>
      <c r="C161" s="3"/>
      <c r="D161" s="3"/>
      <c r="E161" s="3"/>
      <c r="F161" s="4">
        <f>F160</f>
        <v>190000</v>
      </c>
    </row>
    <row r="162" spans="1:6" x14ac:dyDescent="0.2">
      <c r="F162" s="167"/>
    </row>
    <row r="163" spans="1:6" x14ac:dyDescent="0.2">
      <c r="A163" s="14"/>
      <c r="B163" s="14"/>
      <c r="C163" s="14"/>
      <c r="D163" s="14"/>
      <c r="E163" s="14"/>
      <c r="F163" s="157"/>
    </row>
    <row r="164" spans="1:6" x14ac:dyDescent="0.2">
      <c r="A164" s="14"/>
      <c r="B164" s="14"/>
      <c r="C164" s="14"/>
      <c r="D164" s="14"/>
      <c r="E164" s="14"/>
      <c r="F164" s="117"/>
    </row>
    <row r="165" spans="1:6" s="5" customFormat="1" x14ac:dyDescent="0.2">
      <c r="C165" s="5" t="s">
        <v>184</v>
      </c>
    </row>
    <row r="166" spans="1:6" s="5" customFormat="1" x14ac:dyDescent="0.2"/>
    <row r="167" spans="1:6" s="5" customFormat="1" x14ac:dyDescent="0.2">
      <c r="A167" s="3" t="s">
        <v>5</v>
      </c>
      <c r="B167" s="3" t="s">
        <v>32</v>
      </c>
      <c r="C167" s="3" t="s">
        <v>43</v>
      </c>
      <c r="D167" s="3" t="s">
        <v>34</v>
      </c>
      <c r="E167" s="3" t="s">
        <v>35</v>
      </c>
      <c r="F167" s="3" t="s">
        <v>29</v>
      </c>
    </row>
    <row r="168" spans="1:6" s="27" customFormat="1" x14ac:dyDescent="0.2">
      <c r="A168" s="202">
        <v>852</v>
      </c>
      <c r="B168" s="192" t="s">
        <v>171</v>
      </c>
      <c r="C168" s="184" t="s">
        <v>36</v>
      </c>
      <c r="D168" s="192">
        <v>135</v>
      </c>
      <c r="E168" s="193">
        <v>22</v>
      </c>
      <c r="F168" s="193">
        <f>D168*E168</f>
        <v>2970</v>
      </c>
    </row>
    <row r="169" spans="1:6" s="27" customFormat="1" x14ac:dyDescent="0.2">
      <c r="A169" s="202">
        <v>852</v>
      </c>
      <c r="B169" s="184" t="s">
        <v>256</v>
      </c>
      <c r="C169" s="184" t="s">
        <v>36</v>
      </c>
      <c r="D169" s="192">
        <v>6</v>
      </c>
      <c r="E169" s="193">
        <v>3000</v>
      </c>
      <c r="F169" s="193">
        <f>D169*E169</f>
        <v>18000</v>
      </c>
    </row>
    <row r="170" spans="1:6" s="5" customFormat="1" x14ac:dyDescent="0.2">
      <c r="A170" s="205">
        <v>852</v>
      </c>
      <c r="B170" s="200" t="s">
        <v>30</v>
      </c>
      <c r="C170" s="200"/>
      <c r="D170" s="200"/>
      <c r="E170" s="206"/>
      <c r="F170" s="206">
        <f>F169</f>
        <v>18000</v>
      </c>
    </row>
    <row r="171" spans="1:6" s="27" customFormat="1" x14ac:dyDescent="0.2">
      <c r="A171" s="202">
        <v>851</v>
      </c>
      <c r="B171" s="192" t="s">
        <v>127</v>
      </c>
      <c r="C171" s="184" t="s">
        <v>183</v>
      </c>
      <c r="D171" s="192">
        <v>0</v>
      </c>
      <c r="E171" s="193">
        <v>2.2000000000000002</v>
      </c>
      <c r="F171" s="193">
        <v>0</v>
      </c>
    </row>
    <row r="172" spans="1:6" s="5" customFormat="1" x14ac:dyDescent="0.2">
      <c r="A172" s="205">
        <v>851</v>
      </c>
      <c r="B172" s="200" t="s">
        <v>30</v>
      </c>
      <c r="C172" s="200"/>
      <c r="D172" s="200"/>
      <c r="E172" s="206"/>
      <c r="F172" s="206">
        <f>F171</f>
        <v>0</v>
      </c>
    </row>
    <row r="173" spans="1:6" s="5" customFormat="1" x14ac:dyDescent="0.2">
      <c r="A173" s="202">
        <v>853</v>
      </c>
      <c r="B173" s="192" t="s">
        <v>196</v>
      </c>
      <c r="C173" s="192" t="s">
        <v>46</v>
      </c>
      <c r="D173" s="192">
        <v>1</v>
      </c>
      <c r="E173" s="193">
        <v>2000</v>
      </c>
      <c r="F173" s="193">
        <f>D173*E173</f>
        <v>2000</v>
      </c>
    </row>
    <row r="174" spans="1:6" s="5" customFormat="1" x14ac:dyDescent="0.2">
      <c r="A174" s="205">
        <v>853</v>
      </c>
      <c r="B174" s="200" t="s">
        <v>30</v>
      </c>
      <c r="C174" s="200"/>
      <c r="D174" s="200"/>
      <c r="E174" s="206"/>
      <c r="F174" s="206">
        <f>F173</f>
        <v>2000</v>
      </c>
    </row>
    <row r="175" spans="1:6" s="5" customFormat="1" x14ac:dyDescent="0.2">
      <c r="A175" s="3">
        <v>10010</v>
      </c>
      <c r="B175" s="3" t="s">
        <v>178</v>
      </c>
      <c r="C175" s="3"/>
      <c r="D175" s="3"/>
      <c r="E175" s="3"/>
      <c r="F175" s="4">
        <f>F170+F174</f>
        <v>20000</v>
      </c>
    </row>
    <row r="176" spans="1:6" s="5" customFormat="1" x14ac:dyDescent="0.2">
      <c r="A176" s="14"/>
      <c r="B176" s="14"/>
      <c r="C176" s="14"/>
      <c r="D176" s="14"/>
      <c r="E176" s="14"/>
      <c r="F176" s="117"/>
    </row>
    <row r="177" spans="1:7" x14ac:dyDescent="0.2">
      <c r="C177" s="108" t="s">
        <v>97</v>
      </c>
      <c r="F177" s="29"/>
    </row>
    <row r="178" spans="1:7" x14ac:dyDescent="0.2">
      <c r="A178" s="17"/>
      <c r="B178" s="17"/>
      <c r="C178" s="17">
        <v>10050</v>
      </c>
      <c r="D178" s="17">
        <v>10040</v>
      </c>
      <c r="E178" s="17">
        <v>10010</v>
      </c>
      <c r="F178" s="17" t="s">
        <v>4</v>
      </c>
    </row>
    <row r="179" spans="1:7" x14ac:dyDescent="0.2">
      <c r="A179" s="1"/>
      <c r="B179" s="3">
        <v>121</v>
      </c>
      <c r="C179" s="19">
        <f>з.п.!D47</f>
        <v>0</v>
      </c>
      <c r="D179" s="19">
        <f>з.п.!D48</f>
        <v>4946853.5999999996</v>
      </c>
      <c r="E179" s="19">
        <f>з.п.!D49</f>
        <v>11670562</v>
      </c>
      <c r="F179" s="19">
        <f>C179+D179+E179</f>
        <v>16617415.6</v>
      </c>
      <c r="G179" s="20"/>
    </row>
    <row r="180" spans="1:7" x14ac:dyDescent="0.2">
      <c r="A180" s="1"/>
      <c r="B180" s="3">
        <v>122</v>
      </c>
      <c r="C180" s="19">
        <f>D40</f>
        <v>0</v>
      </c>
      <c r="D180" s="19">
        <f>D41</f>
        <v>238500</v>
      </c>
      <c r="E180" s="19">
        <f>D42</f>
        <v>600500</v>
      </c>
      <c r="F180" s="19">
        <f>C180+D180+E180</f>
        <v>839000</v>
      </c>
      <c r="G180" s="20"/>
    </row>
    <row r="181" spans="1:7" x14ac:dyDescent="0.2">
      <c r="A181" s="1"/>
      <c r="B181" s="3">
        <v>129</v>
      </c>
      <c r="C181" s="19">
        <f>Взносы!M45</f>
        <v>0</v>
      </c>
      <c r="D181" s="19">
        <f>Взносы!M46</f>
        <v>1192324.6008000001</v>
      </c>
      <c r="E181" s="19">
        <f>Взносы!M47</f>
        <v>3551310.4436800005</v>
      </c>
      <c r="F181" s="19">
        <f>C181+D181+E181</f>
        <v>4743635.0444800006</v>
      </c>
      <c r="G181" s="20"/>
    </row>
    <row r="182" spans="1:7" x14ac:dyDescent="0.2">
      <c r="A182" s="1"/>
      <c r="B182" s="3">
        <v>244</v>
      </c>
      <c r="C182" s="19"/>
      <c r="D182" s="19"/>
      <c r="E182" s="19">
        <f>G70+F79+F91++F114+F123+F140+F150+F160</f>
        <v>4436592.5999999996</v>
      </c>
      <c r="F182" s="19">
        <f>E182</f>
        <v>4436592.5999999996</v>
      </c>
      <c r="G182" s="20"/>
    </row>
    <row r="183" spans="1:7" x14ac:dyDescent="0.2">
      <c r="A183" s="1"/>
      <c r="B183" s="3">
        <v>851</v>
      </c>
      <c r="C183" s="19"/>
      <c r="D183" s="19"/>
      <c r="E183" s="19">
        <f>F172</f>
        <v>0</v>
      </c>
      <c r="F183" s="19">
        <f t="shared" ref="F183:F185" si="8">C183+D183+E183</f>
        <v>0</v>
      </c>
    </row>
    <row r="184" spans="1:7" x14ac:dyDescent="0.2">
      <c r="A184" s="1"/>
      <c r="B184" s="3">
        <v>852</v>
      </c>
      <c r="C184" s="19"/>
      <c r="D184" s="19"/>
      <c r="E184" s="19">
        <f>F170</f>
        <v>18000</v>
      </c>
      <c r="F184" s="19">
        <f>E184</f>
        <v>18000</v>
      </c>
    </row>
    <row r="185" spans="1:7" x14ac:dyDescent="0.2">
      <c r="A185" s="1"/>
      <c r="B185" s="3">
        <v>853</v>
      </c>
      <c r="C185" s="19"/>
      <c r="D185" s="19"/>
      <c r="E185" s="19">
        <f>F174</f>
        <v>2000</v>
      </c>
      <c r="F185" s="19">
        <f t="shared" si="8"/>
        <v>2000</v>
      </c>
    </row>
    <row r="186" spans="1:7" s="5" customFormat="1" x14ac:dyDescent="0.2">
      <c r="A186" s="3"/>
      <c r="B186" s="3" t="s">
        <v>17</v>
      </c>
      <c r="C186" s="21">
        <f>C179+C180+C181</f>
        <v>0</v>
      </c>
      <c r="D186" s="21">
        <f>D179+D180+D181</f>
        <v>6377678.2007999998</v>
      </c>
      <c r="E186" s="21">
        <f>E179+E180+E181+E182+E184+E185</f>
        <v>20278965.043679997</v>
      </c>
      <c r="F186" s="21">
        <f>F179+F180+F181+F182+F183+F184+F185</f>
        <v>26656643.244479999</v>
      </c>
      <c r="G186" s="164"/>
    </row>
    <row r="187" spans="1:7" x14ac:dyDescent="0.2">
      <c r="C187" s="20"/>
      <c r="F187" s="20"/>
    </row>
    <row r="190" spans="1:7" x14ac:dyDescent="0.2">
      <c r="F190" s="20"/>
    </row>
  </sheetData>
  <pageMargins left="0.70866141732283472" right="0.70866141732283472" top="0.35433070866141736" bottom="0.35433070866141736" header="0.31496062992125984" footer="0.31496062992125984"/>
  <pageSetup paperSize="9" orientation="landscape" r:id="rId1"/>
  <ignoredErrors>
    <ignoredError sqref="G6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34" workbookViewId="0">
      <selection sqref="A1:N49"/>
    </sheetView>
  </sheetViews>
  <sheetFormatPr defaultColWidth="22.42578125" defaultRowHeight="12" x14ac:dyDescent="0.2"/>
  <cols>
    <col min="1" max="1" width="6" style="71" customWidth="1"/>
    <col min="2" max="2" width="4.7109375" style="71" customWidth="1"/>
    <col min="3" max="3" width="14.28515625" style="71" customWidth="1"/>
    <col min="4" max="4" width="11.28515625" style="71" customWidth="1"/>
    <col min="5" max="5" width="10.5703125" style="71" customWidth="1"/>
    <col min="6" max="6" width="8.7109375" style="71" customWidth="1"/>
    <col min="7" max="7" width="11.28515625" style="71" customWidth="1"/>
    <col min="8" max="8" width="3.28515625" style="71" customWidth="1"/>
    <col min="9" max="9" width="5.7109375" style="71" customWidth="1"/>
    <col min="10" max="10" width="13.140625" style="71" customWidth="1"/>
    <col min="11" max="11" width="11.42578125" style="71" customWidth="1"/>
    <col min="12" max="12" width="10.28515625" style="71" customWidth="1"/>
    <col min="13" max="13" width="9.5703125" style="71" customWidth="1"/>
    <col min="14" max="14" width="10.28515625" style="71" customWidth="1"/>
    <col min="15" max="15" width="9.85546875" style="71" customWidth="1"/>
    <col min="16" max="16384" width="22.42578125" style="71"/>
  </cols>
  <sheetData>
    <row r="1" spans="2:14" s="63" customFormat="1" x14ac:dyDescent="0.2">
      <c r="B1" s="138"/>
      <c r="D1" s="68" t="s">
        <v>100</v>
      </c>
      <c r="F1" s="63" t="s">
        <v>140</v>
      </c>
      <c r="G1" s="63" t="s">
        <v>230</v>
      </c>
      <c r="I1" s="161"/>
    </row>
    <row r="2" spans="2:14" s="64" customFormat="1" x14ac:dyDescent="0.2">
      <c r="B2" s="207" t="s">
        <v>5</v>
      </c>
      <c r="C2" s="207" t="s">
        <v>2</v>
      </c>
      <c r="D2" s="208" t="s">
        <v>71</v>
      </c>
      <c r="E2" s="208" t="s">
        <v>29</v>
      </c>
      <c r="F2" s="207" t="s">
        <v>101</v>
      </c>
      <c r="G2" s="207" t="s">
        <v>29</v>
      </c>
      <c r="H2" s="209"/>
      <c r="I2" s="207" t="s">
        <v>5</v>
      </c>
      <c r="J2" s="207" t="s">
        <v>2</v>
      </c>
      <c r="K2" s="207" t="s">
        <v>71</v>
      </c>
      <c r="L2" s="207" t="s">
        <v>29</v>
      </c>
      <c r="M2" s="207" t="s">
        <v>101</v>
      </c>
      <c r="N2" s="207" t="s">
        <v>29</v>
      </c>
    </row>
    <row r="3" spans="2:14" s="66" customFormat="1" x14ac:dyDescent="0.2">
      <c r="B3" s="210" t="s">
        <v>148</v>
      </c>
      <c r="C3" s="211" t="s">
        <v>233</v>
      </c>
      <c r="D3" s="211"/>
      <c r="E3" s="211"/>
      <c r="F3" s="211"/>
      <c r="G3" s="211"/>
      <c r="H3" s="212"/>
      <c r="I3" s="210" t="s">
        <v>150</v>
      </c>
      <c r="J3" s="211" t="s">
        <v>131</v>
      </c>
      <c r="K3" s="211">
        <v>1565000</v>
      </c>
      <c r="L3" s="213">
        <f>L8</f>
        <v>830003.19999999995</v>
      </c>
      <c r="M3" s="211">
        <v>22</v>
      </c>
      <c r="N3" s="213">
        <f>L3*M3/100</f>
        <v>182600.704</v>
      </c>
    </row>
    <row r="4" spans="2:14" s="64" customFormat="1" x14ac:dyDescent="0.2">
      <c r="B4" s="211"/>
      <c r="C4" s="211" t="s">
        <v>134</v>
      </c>
      <c r="D4" s="211"/>
      <c r="E4" s="213"/>
      <c r="F4" s="211"/>
      <c r="G4" s="213"/>
      <c r="H4" s="214"/>
      <c r="I4" s="211"/>
      <c r="J4" s="211" t="s">
        <v>134</v>
      </c>
      <c r="K4" s="211" t="s">
        <v>117</v>
      </c>
      <c r="L4" s="213">
        <f>L6-L3</f>
        <v>0</v>
      </c>
      <c r="M4" s="211">
        <v>10</v>
      </c>
      <c r="N4" s="213">
        <f>L4*M4/100</f>
        <v>0</v>
      </c>
    </row>
    <row r="5" spans="2:14" s="66" customFormat="1" x14ac:dyDescent="0.2">
      <c r="B5" s="211"/>
      <c r="C5" s="211" t="s">
        <v>132</v>
      </c>
      <c r="D5" s="211"/>
      <c r="E5" s="213"/>
      <c r="F5" s="211"/>
      <c r="G5" s="213"/>
      <c r="H5" s="212"/>
      <c r="I5" s="211"/>
      <c r="J5" s="211" t="s">
        <v>132</v>
      </c>
      <c r="K5" s="211" t="s">
        <v>231</v>
      </c>
      <c r="L5" s="213">
        <f>L6</f>
        <v>830003.19999999995</v>
      </c>
      <c r="M5" s="211">
        <v>2.9</v>
      </c>
      <c r="N5" s="213">
        <f>L5*M5/100</f>
        <v>24070.092799999999</v>
      </c>
    </row>
    <row r="6" spans="2:14" s="64" customFormat="1" x14ac:dyDescent="0.2">
      <c r="B6" s="211"/>
      <c r="C6" s="211" t="s">
        <v>133</v>
      </c>
      <c r="D6" s="211"/>
      <c r="E6" s="213"/>
      <c r="F6" s="211"/>
      <c r="G6" s="213"/>
      <c r="H6" s="214"/>
      <c r="I6" s="211"/>
      <c r="J6" s="211" t="s">
        <v>133</v>
      </c>
      <c r="K6" s="213">
        <f>L8</f>
        <v>830003.19999999995</v>
      </c>
      <c r="L6" s="213">
        <f>L8</f>
        <v>830003.19999999995</v>
      </c>
      <c r="M6" s="211">
        <v>5.0999999999999996</v>
      </c>
      <c r="N6" s="213">
        <f>L6*M6/100</f>
        <v>42330.163199999995</v>
      </c>
    </row>
    <row r="7" spans="2:14" s="68" customFormat="1" x14ac:dyDescent="0.2">
      <c r="B7" s="215"/>
      <c r="C7" s="211"/>
      <c r="D7" s="211"/>
      <c r="E7" s="216"/>
      <c r="F7" s="215"/>
      <c r="G7" s="217"/>
      <c r="H7" s="218"/>
      <c r="I7" s="215"/>
      <c r="J7" s="211"/>
      <c r="K7" s="211"/>
      <c r="L7" s="216"/>
      <c r="M7" s="215"/>
      <c r="N7" s="217"/>
    </row>
    <row r="8" spans="2:14" s="68" customFormat="1" x14ac:dyDescent="0.2">
      <c r="B8" s="219"/>
      <c r="C8" s="208" t="s">
        <v>17</v>
      </c>
      <c r="D8" s="208"/>
      <c r="E8" s="220"/>
      <c r="F8" s="208"/>
      <c r="G8" s="220">
        <f>G3+G4+G5+G6</f>
        <v>0</v>
      </c>
      <c r="H8" s="212"/>
      <c r="I8" s="219"/>
      <c r="J8" s="208" t="s">
        <v>17</v>
      </c>
      <c r="K8" s="208"/>
      <c r="L8" s="220">
        <f>з.п.!K38</f>
        <v>830003.19999999995</v>
      </c>
      <c r="M8" s="208"/>
      <c r="N8" s="220">
        <f>N3+N4+N5+N6</f>
        <v>249000.96000000002</v>
      </c>
    </row>
    <row r="9" spans="2:14" s="70" customFormat="1" x14ac:dyDescent="0.2">
      <c r="B9" s="221"/>
      <c r="C9" s="221"/>
      <c r="D9" s="221"/>
      <c r="E9" s="221"/>
      <c r="F9" s="221"/>
      <c r="G9" s="221"/>
      <c r="H9" s="221"/>
      <c r="I9" s="211"/>
      <c r="J9" s="208"/>
      <c r="K9" s="211"/>
      <c r="L9" s="208"/>
      <c r="M9" s="211"/>
      <c r="N9" s="220"/>
    </row>
    <row r="10" spans="2:14" s="68" customFormat="1" x14ac:dyDescent="0.2">
      <c r="B10" s="208" t="s">
        <v>5</v>
      </c>
      <c r="C10" s="208" t="s">
        <v>2</v>
      </c>
      <c r="D10" s="208" t="s">
        <v>71</v>
      </c>
      <c r="E10" s="208" t="s">
        <v>29</v>
      </c>
      <c r="F10" s="208" t="s">
        <v>101</v>
      </c>
      <c r="G10" s="208" t="s">
        <v>29</v>
      </c>
      <c r="H10" s="218"/>
      <c r="I10" s="214"/>
      <c r="J10" s="214"/>
      <c r="K10" s="214"/>
      <c r="L10" s="214"/>
      <c r="M10" s="214"/>
      <c r="N10" s="222"/>
    </row>
    <row r="11" spans="2:14" s="68" customFormat="1" x14ac:dyDescent="0.2">
      <c r="B11" s="210" t="s">
        <v>149</v>
      </c>
      <c r="C11" s="211" t="s">
        <v>72</v>
      </c>
      <c r="D11" s="211">
        <v>1565000</v>
      </c>
      <c r="E11" s="211">
        <v>1565000</v>
      </c>
      <c r="F11" s="211">
        <v>22</v>
      </c>
      <c r="G11" s="211">
        <f>E11*F11/100</f>
        <v>344300</v>
      </c>
      <c r="H11" s="212"/>
      <c r="I11" s="208" t="s">
        <v>5</v>
      </c>
      <c r="J11" s="208" t="s">
        <v>2</v>
      </c>
      <c r="K11" s="208" t="s">
        <v>71</v>
      </c>
      <c r="L11" s="208" t="s">
        <v>29</v>
      </c>
      <c r="M11" s="208" t="s">
        <v>101</v>
      </c>
      <c r="N11" s="220" t="s">
        <v>29</v>
      </c>
    </row>
    <row r="12" spans="2:14" x14ac:dyDescent="0.2">
      <c r="B12" s="211"/>
      <c r="C12" s="211" t="s">
        <v>134</v>
      </c>
      <c r="D12" s="211" t="s">
        <v>117</v>
      </c>
      <c r="E12" s="213">
        <f>E16-E11</f>
        <v>908426.79999999981</v>
      </c>
      <c r="F12" s="211">
        <v>10</v>
      </c>
      <c r="G12" s="213">
        <f>E12*F12/100</f>
        <v>90842.679999999978</v>
      </c>
      <c r="H12" s="221"/>
      <c r="I12" s="210" t="s">
        <v>150</v>
      </c>
      <c r="J12" s="211" t="s">
        <v>94</v>
      </c>
      <c r="K12" s="211" t="s">
        <v>237</v>
      </c>
      <c r="L12" s="213">
        <f>L15</f>
        <v>947778</v>
      </c>
      <c r="M12" s="211">
        <v>22</v>
      </c>
      <c r="N12" s="213">
        <f>L12*M12/100</f>
        <v>208511.16</v>
      </c>
    </row>
    <row r="13" spans="2:14" x14ac:dyDescent="0.2">
      <c r="B13" s="211"/>
      <c r="C13" s="211" t="s">
        <v>132</v>
      </c>
      <c r="D13" s="211" t="s">
        <v>231</v>
      </c>
      <c r="E13" s="213">
        <v>1032000</v>
      </c>
      <c r="F13" s="211">
        <v>2.9</v>
      </c>
      <c r="G13" s="213">
        <f>E13*F13/100</f>
        <v>29928</v>
      </c>
      <c r="H13" s="221"/>
      <c r="I13" s="211"/>
      <c r="J13" s="211" t="s">
        <v>134</v>
      </c>
      <c r="K13" s="211" t="s">
        <v>117</v>
      </c>
      <c r="L13" s="213">
        <f>L15-L12</f>
        <v>0</v>
      </c>
      <c r="M13" s="211">
        <v>10</v>
      </c>
      <c r="N13" s="213">
        <f>L13*M13/100</f>
        <v>0</v>
      </c>
    </row>
    <row r="14" spans="2:14" x14ac:dyDescent="0.2">
      <c r="B14" s="211"/>
      <c r="C14" s="211" t="s">
        <v>133</v>
      </c>
      <c r="D14" s="211">
        <v>2473427</v>
      </c>
      <c r="E14" s="213">
        <f>E16</f>
        <v>2473426.7999999998</v>
      </c>
      <c r="F14" s="211">
        <v>5.0999999999999996</v>
      </c>
      <c r="G14" s="213">
        <f>E14*F14/100</f>
        <v>126144.76679999998</v>
      </c>
      <c r="H14" s="221"/>
      <c r="I14" s="211"/>
      <c r="J14" s="211" t="s">
        <v>132</v>
      </c>
      <c r="K14" s="211" t="s">
        <v>231</v>
      </c>
      <c r="L14" s="213">
        <f>L17</f>
        <v>947778</v>
      </c>
      <c r="M14" s="211">
        <v>2.9</v>
      </c>
      <c r="N14" s="213">
        <f>L14*M14/100</f>
        <v>27485.561999999998</v>
      </c>
    </row>
    <row r="15" spans="2:14" x14ac:dyDescent="0.2">
      <c r="B15" s="215"/>
      <c r="C15" s="211"/>
      <c r="D15" s="211"/>
      <c r="E15" s="216"/>
      <c r="F15" s="215"/>
      <c r="G15" s="217"/>
      <c r="H15" s="221"/>
      <c r="I15" s="211"/>
      <c r="J15" s="211" t="s">
        <v>133</v>
      </c>
      <c r="K15" s="213">
        <f>L17</f>
        <v>947778</v>
      </c>
      <c r="L15" s="213">
        <f>L17</f>
        <v>947778</v>
      </c>
      <c r="M15" s="211">
        <v>5.0999999999999996</v>
      </c>
      <c r="N15" s="213">
        <f>L15*M15/100</f>
        <v>48336.678</v>
      </c>
    </row>
    <row r="16" spans="2:14" x14ac:dyDescent="0.2">
      <c r="B16" s="219"/>
      <c r="C16" s="208" t="s">
        <v>17</v>
      </c>
      <c r="D16" s="208"/>
      <c r="E16" s="220">
        <f>з.п.!N15</f>
        <v>2473426.7999999998</v>
      </c>
      <c r="F16" s="208"/>
      <c r="G16" s="220">
        <f>G11+G12+G13+G14</f>
        <v>591215.44680000003</v>
      </c>
      <c r="H16" s="221"/>
      <c r="I16" s="215"/>
      <c r="J16" s="211"/>
      <c r="K16" s="211"/>
      <c r="L16" s="216"/>
      <c r="M16" s="215"/>
      <c r="N16" s="216"/>
    </row>
    <row r="17" spans="1:14" ht="12.6" customHeight="1" x14ac:dyDescent="0.2">
      <c r="B17" s="219"/>
      <c r="C17" s="223" t="s">
        <v>226</v>
      </c>
      <c r="D17" s="223"/>
      <c r="E17" s="220">
        <f>E16*2</f>
        <v>4946853.5999999996</v>
      </c>
      <c r="F17" s="223"/>
      <c r="G17" s="220">
        <f>G16*2</f>
        <v>1182430.8936000001</v>
      </c>
      <c r="H17" s="221"/>
      <c r="I17" s="219"/>
      <c r="J17" s="208" t="s">
        <v>17</v>
      </c>
      <c r="K17" s="208"/>
      <c r="L17" s="220">
        <f>з.п.!K39</f>
        <v>947778</v>
      </c>
      <c r="M17" s="208"/>
      <c r="N17" s="220">
        <f>N12+N13+N14+N15</f>
        <v>284333.40000000002</v>
      </c>
    </row>
    <row r="18" spans="1:14" ht="14.45" customHeight="1" x14ac:dyDescent="0.2">
      <c r="B18" s="208" t="s">
        <v>5</v>
      </c>
      <c r="C18" s="208" t="s">
        <v>2</v>
      </c>
      <c r="D18" s="208" t="s">
        <v>71</v>
      </c>
      <c r="E18" s="208" t="s">
        <v>29</v>
      </c>
      <c r="F18" s="208" t="s">
        <v>101</v>
      </c>
      <c r="G18" s="208" t="s">
        <v>29</v>
      </c>
      <c r="H18" s="221"/>
      <c r="I18" s="214"/>
      <c r="J18" s="214"/>
      <c r="K18" s="214"/>
      <c r="L18" s="221"/>
      <c r="M18" s="214"/>
      <c r="N18" s="214"/>
    </row>
    <row r="19" spans="1:14" s="68" customFormat="1" x14ac:dyDescent="0.2">
      <c r="B19" s="210" t="s">
        <v>150</v>
      </c>
      <c r="C19" s="211" t="s">
        <v>73</v>
      </c>
      <c r="D19" s="211" t="s">
        <v>232</v>
      </c>
      <c r="E19" s="211">
        <v>1565000</v>
      </c>
      <c r="F19" s="211">
        <v>22</v>
      </c>
      <c r="G19" s="211">
        <f>E19*F19/100</f>
        <v>344300</v>
      </c>
      <c r="H19" s="224"/>
      <c r="I19" s="208" t="s">
        <v>5</v>
      </c>
      <c r="J19" s="208" t="s">
        <v>2</v>
      </c>
      <c r="K19" s="208" t="s">
        <v>71</v>
      </c>
      <c r="L19" s="208" t="s">
        <v>29</v>
      </c>
      <c r="M19" s="208" t="s">
        <v>101</v>
      </c>
      <c r="N19" s="208" t="s">
        <v>29</v>
      </c>
    </row>
    <row r="20" spans="1:14" s="68" customFormat="1" x14ac:dyDescent="0.2">
      <c r="B20" s="211"/>
      <c r="C20" s="211" t="s">
        <v>134</v>
      </c>
      <c r="D20" s="211" t="s">
        <v>117</v>
      </c>
      <c r="E20" s="213">
        <f>E24-E19</f>
        <v>517324.66000000061</v>
      </c>
      <c r="F20" s="211">
        <v>10</v>
      </c>
      <c r="G20" s="213">
        <f>E20*F20/100</f>
        <v>51732.466000000059</v>
      </c>
      <c r="H20" s="224"/>
      <c r="I20" s="210" t="s">
        <v>150</v>
      </c>
      <c r="J20" s="211" t="s">
        <v>175</v>
      </c>
      <c r="K20" s="211" t="s">
        <v>232</v>
      </c>
      <c r="L20" s="213">
        <f>L23</f>
        <v>768778.39999999991</v>
      </c>
      <c r="M20" s="211">
        <v>22</v>
      </c>
      <c r="N20" s="213">
        <f>L20*30/100</f>
        <v>230633.51999999996</v>
      </c>
    </row>
    <row r="21" spans="1:14" s="68" customFormat="1" x14ac:dyDescent="0.2">
      <c r="B21" s="211"/>
      <c r="C21" s="211" t="s">
        <v>132</v>
      </c>
      <c r="D21" s="211" t="s">
        <v>231</v>
      </c>
      <c r="E21" s="213">
        <v>1032000</v>
      </c>
      <c r="F21" s="211">
        <v>2.9</v>
      </c>
      <c r="G21" s="213">
        <f>E21*F21/100</f>
        <v>29928</v>
      </c>
      <c r="H21" s="212"/>
      <c r="I21" s="211"/>
      <c r="J21" s="211" t="s">
        <v>134</v>
      </c>
      <c r="K21" s="211" t="s">
        <v>117</v>
      </c>
      <c r="L21" s="213">
        <f>L23-L20</f>
        <v>0</v>
      </c>
      <c r="M21" s="211">
        <v>10</v>
      </c>
      <c r="N21" s="213">
        <f>L21*M21/100</f>
        <v>0</v>
      </c>
    </row>
    <row r="22" spans="1:14" s="68" customFormat="1" x14ac:dyDescent="0.2">
      <c r="B22" s="211"/>
      <c r="C22" s="211" t="s">
        <v>133</v>
      </c>
      <c r="D22" s="213">
        <v>2082325</v>
      </c>
      <c r="E22" s="213">
        <f>E24</f>
        <v>2082324.6600000006</v>
      </c>
      <c r="F22" s="211">
        <v>5.0999999999999996</v>
      </c>
      <c r="G22" s="213">
        <f>E22*F22/100</f>
        <v>106198.55766000002</v>
      </c>
      <c r="H22" s="212"/>
      <c r="I22" s="211"/>
      <c r="J22" s="211" t="s">
        <v>132</v>
      </c>
      <c r="K22" s="211" t="s">
        <v>231</v>
      </c>
      <c r="L22" s="213">
        <f>L23</f>
        <v>768778.39999999991</v>
      </c>
      <c r="M22" s="211">
        <v>2.9</v>
      </c>
      <c r="N22" s="213">
        <f>L22*M22/100</f>
        <v>22294.5736</v>
      </c>
    </row>
    <row r="23" spans="1:14" x14ac:dyDescent="0.2">
      <c r="A23" s="68"/>
      <c r="B23" s="215"/>
      <c r="C23" s="211"/>
      <c r="D23" s="211"/>
      <c r="E23" s="215"/>
      <c r="F23" s="215"/>
      <c r="G23" s="217"/>
      <c r="H23" s="212"/>
      <c r="I23" s="211"/>
      <c r="J23" s="211" t="s">
        <v>133</v>
      </c>
      <c r="K23" s="213">
        <f>L25</f>
        <v>768778.39999999991</v>
      </c>
      <c r="L23" s="213">
        <f>L25</f>
        <v>768778.39999999991</v>
      </c>
      <c r="M23" s="211">
        <v>5.0999999999999996</v>
      </c>
      <c r="N23" s="213">
        <f>L23*M23/100</f>
        <v>39207.698399999994</v>
      </c>
    </row>
    <row r="24" spans="1:14" x14ac:dyDescent="0.2">
      <c r="B24" s="219"/>
      <c r="C24" s="208" t="s">
        <v>17</v>
      </c>
      <c r="D24" s="208"/>
      <c r="E24" s="220">
        <f>з.п.!P23</f>
        <v>2082324.6600000006</v>
      </c>
      <c r="F24" s="208"/>
      <c r="G24" s="220">
        <f>G19+G20+G21+G22</f>
        <v>532159.02366000006</v>
      </c>
      <c r="H24" s="214"/>
      <c r="I24" s="215"/>
      <c r="J24" s="211"/>
      <c r="K24" s="211"/>
      <c r="L24" s="216"/>
      <c r="M24" s="215"/>
      <c r="N24" s="216"/>
    </row>
    <row r="25" spans="1:14" x14ac:dyDescent="0.2">
      <c r="B25" s="214"/>
      <c r="C25" s="221"/>
      <c r="D25" s="221"/>
      <c r="E25" s="221"/>
      <c r="F25" s="221"/>
      <c r="G25" s="221"/>
      <c r="H25" s="221"/>
      <c r="I25" s="219"/>
      <c r="J25" s="208" t="s">
        <v>17</v>
      </c>
      <c r="K25" s="208"/>
      <c r="L25" s="220">
        <f>з.п.!K40</f>
        <v>768778.39999999991</v>
      </c>
      <c r="M25" s="208"/>
      <c r="N25" s="220">
        <f>N20+N21+N22+N23</f>
        <v>292135.79199999996</v>
      </c>
    </row>
    <row r="26" spans="1:14" s="68" customFormat="1" x14ac:dyDescent="0.2">
      <c r="B26" s="208" t="s">
        <v>5</v>
      </c>
      <c r="C26" s="208" t="s">
        <v>2</v>
      </c>
      <c r="D26" s="208" t="s">
        <v>71</v>
      </c>
      <c r="E26" s="208" t="s">
        <v>29</v>
      </c>
      <c r="F26" s="208" t="s">
        <v>101</v>
      </c>
      <c r="G26" s="208" t="s">
        <v>29</v>
      </c>
      <c r="H26" s="224"/>
      <c r="I26" s="214"/>
      <c r="J26" s="214"/>
      <c r="K26" s="214"/>
      <c r="L26" s="214"/>
      <c r="M26" s="214"/>
      <c r="N26" s="214"/>
    </row>
    <row r="27" spans="1:14" x14ac:dyDescent="0.2">
      <c r="B27" s="210" t="s">
        <v>150</v>
      </c>
      <c r="C27" s="211" t="s">
        <v>74</v>
      </c>
      <c r="D27" s="211" t="s">
        <v>232</v>
      </c>
      <c r="E27" s="213">
        <f>E32</f>
        <v>1192731.54</v>
      </c>
      <c r="F27" s="211">
        <v>22</v>
      </c>
      <c r="G27" s="213">
        <f>E27*F27/100</f>
        <v>262400.9388</v>
      </c>
      <c r="H27" s="214"/>
      <c r="I27" s="208" t="s">
        <v>5</v>
      </c>
      <c r="J27" s="208" t="s">
        <v>2</v>
      </c>
      <c r="K27" s="208" t="s">
        <v>71</v>
      </c>
      <c r="L27" s="208" t="s">
        <v>29</v>
      </c>
      <c r="M27" s="208" t="s">
        <v>101</v>
      </c>
      <c r="N27" s="208" t="s">
        <v>29</v>
      </c>
    </row>
    <row r="28" spans="1:14" s="68" customFormat="1" x14ac:dyDescent="0.2">
      <c r="B28" s="211"/>
      <c r="C28" s="211" t="s">
        <v>134</v>
      </c>
      <c r="D28" s="211" t="s">
        <v>117</v>
      </c>
      <c r="E28" s="213">
        <f>E30-E27</f>
        <v>0</v>
      </c>
      <c r="F28" s="211">
        <v>10</v>
      </c>
      <c r="G28" s="213">
        <f>E28*F28/100</f>
        <v>0</v>
      </c>
      <c r="H28" s="212"/>
      <c r="I28" s="210" t="s">
        <v>150</v>
      </c>
      <c r="J28" s="211" t="s">
        <v>219</v>
      </c>
      <c r="K28" s="211" t="s">
        <v>232</v>
      </c>
      <c r="L28" s="213">
        <f>K31</f>
        <v>947778</v>
      </c>
      <c r="M28" s="211">
        <v>22</v>
      </c>
      <c r="N28" s="213">
        <f>L28*30/100</f>
        <v>284333.40000000002</v>
      </c>
    </row>
    <row r="29" spans="1:14" s="68" customFormat="1" x14ac:dyDescent="0.2">
      <c r="B29" s="211"/>
      <c r="C29" s="211" t="s">
        <v>132</v>
      </c>
      <c r="D29" s="211" t="s">
        <v>231</v>
      </c>
      <c r="E29" s="213">
        <v>1032000</v>
      </c>
      <c r="F29" s="211">
        <v>2.9</v>
      </c>
      <c r="G29" s="213">
        <f>E29*F29/100</f>
        <v>29928</v>
      </c>
      <c r="H29" s="212"/>
      <c r="I29" s="211"/>
      <c r="J29" s="211" t="s">
        <v>134</v>
      </c>
      <c r="K29" s="211" t="s">
        <v>117</v>
      </c>
      <c r="L29" s="213">
        <v>0</v>
      </c>
      <c r="M29" s="211">
        <v>10</v>
      </c>
      <c r="N29" s="213">
        <f>L29*M29/100</f>
        <v>0</v>
      </c>
    </row>
    <row r="30" spans="1:14" s="68" customFormat="1" x14ac:dyDescent="0.2">
      <c r="B30" s="211"/>
      <c r="C30" s="211" t="s">
        <v>133</v>
      </c>
      <c r="D30" s="213">
        <f>E32</f>
        <v>1192731.54</v>
      </c>
      <c r="E30" s="213">
        <f>E32</f>
        <v>1192731.54</v>
      </c>
      <c r="F30" s="211">
        <v>5.0999999999999996</v>
      </c>
      <c r="G30" s="213">
        <f>E30*F30/100</f>
        <v>60829.308539999991</v>
      </c>
      <c r="H30" s="212"/>
      <c r="I30" s="211"/>
      <c r="J30" s="211" t="s">
        <v>132</v>
      </c>
      <c r="K30" s="211" t="s">
        <v>235</v>
      </c>
      <c r="L30" s="213">
        <f>K31</f>
        <v>947778</v>
      </c>
      <c r="M30" s="211">
        <v>2.9</v>
      </c>
      <c r="N30" s="213">
        <f>L30*M30/100</f>
        <v>27485.561999999998</v>
      </c>
    </row>
    <row r="31" spans="1:14" s="68" customFormat="1" x14ac:dyDescent="0.2">
      <c r="B31" s="215"/>
      <c r="C31" s="211"/>
      <c r="D31" s="211"/>
      <c r="E31" s="216"/>
      <c r="F31" s="215"/>
      <c r="G31" s="217"/>
      <c r="H31" s="212"/>
      <c r="I31" s="211"/>
      <c r="J31" s="211" t="s">
        <v>133</v>
      </c>
      <c r="K31" s="213">
        <f>L33</f>
        <v>947778</v>
      </c>
      <c r="L31" s="213">
        <f>K31</f>
        <v>947778</v>
      </c>
      <c r="M31" s="211">
        <v>5.0999999999999996</v>
      </c>
      <c r="N31" s="213">
        <f>L31*M31/100</f>
        <v>48336.678</v>
      </c>
    </row>
    <row r="32" spans="1:14" s="68" customFormat="1" x14ac:dyDescent="0.2">
      <c r="A32" s="71"/>
      <c r="B32" s="219"/>
      <c r="C32" s="208" t="s">
        <v>17</v>
      </c>
      <c r="D32" s="208"/>
      <c r="E32" s="220">
        <f>з.п.!P25</f>
        <v>1192731.54</v>
      </c>
      <c r="F32" s="208"/>
      <c r="G32" s="220">
        <f>G27+G28+G29+G30</f>
        <v>353158.24734</v>
      </c>
      <c r="H32" s="212"/>
      <c r="I32" s="215"/>
      <c r="J32" s="211"/>
      <c r="K32" s="211"/>
      <c r="L32" s="216"/>
      <c r="M32" s="215"/>
      <c r="N32" s="216"/>
    </row>
    <row r="33" spans="1:15" s="68" customFormat="1" x14ac:dyDescent="0.2">
      <c r="A33" s="71"/>
      <c r="B33" s="219"/>
      <c r="C33" s="223" t="s">
        <v>234</v>
      </c>
      <c r="D33" s="223"/>
      <c r="E33" s="220">
        <f>E32*3</f>
        <v>3578194.62</v>
      </c>
      <c r="F33" s="223"/>
      <c r="G33" s="220">
        <f>G32*3</f>
        <v>1059474.74202</v>
      </c>
      <c r="H33" s="212"/>
      <c r="I33" s="219"/>
      <c r="J33" s="208" t="s">
        <v>17</v>
      </c>
      <c r="K33" s="208"/>
      <c r="L33" s="220">
        <f>з.п.!K41</f>
        <v>947778</v>
      </c>
      <c r="M33" s="208"/>
      <c r="N33" s="220">
        <f>N28+N29+N30+N31</f>
        <v>360155.64</v>
      </c>
    </row>
    <row r="34" spans="1:15" ht="12.75" customHeight="1" x14ac:dyDescent="0.2">
      <c r="A34" s="68"/>
      <c r="B34" s="212"/>
      <c r="C34" s="212"/>
      <c r="D34" s="212"/>
      <c r="E34" s="212"/>
      <c r="F34" s="224"/>
      <c r="G34" s="214"/>
      <c r="H34" s="214"/>
      <c r="I34" s="214"/>
      <c r="J34" s="214"/>
      <c r="K34" s="214"/>
      <c r="L34" s="214"/>
      <c r="M34" s="214"/>
      <c r="N34" s="214"/>
    </row>
    <row r="35" spans="1:15" s="68" customFormat="1" x14ac:dyDescent="0.2">
      <c r="B35" s="208" t="s">
        <v>5</v>
      </c>
      <c r="C35" s="208" t="s">
        <v>2</v>
      </c>
      <c r="D35" s="208" t="s">
        <v>71</v>
      </c>
      <c r="E35" s="208" t="s">
        <v>29</v>
      </c>
      <c r="F35" s="208" t="s">
        <v>101</v>
      </c>
      <c r="G35" s="208" t="s">
        <v>29</v>
      </c>
      <c r="H35" s="212"/>
      <c r="I35" s="208" t="s">
        <v>5</v>
      </c>
      <c r="J35" s="220" t="s">
        <v>2</v>
      </c>
      <c r="K35" s="208" t="s">
        <v>71</v>
      </c>
      <c r="L35" s="220" t="s">
        <v>29</v>
      </c>
      <c r="M35" s="208" t="s">
        <v>101</v>
      </c>
      <c r="N35" s="220" t="s">
        <v>29</v>
      </c>
    </row>
    <row r="36" spans="1:15" x14ac:dyDescent="0.2">
      <c r="B36" s="210" t="s">
        <v>150</v>
      </c>
      <c r="C36" s="211" t="s">
        <v>120</v>
      </c>
      <c r="D36" s="211" t="s">
        <v>232</v>
      </c>
      <c r="E36" s="213">
        <v>831942.02</v>
      </c>
      <c r="F36" s="211">
        <v>22</v>
      </c>
      <c r="G36" s="213">
        <f>E36*F36/100</f>
        <v>183027.24440000003</v>
      </c>
      <c r="H36" s="214"/>
      <c r="I36" s="211">
        <v>10010</v>
      </c>
      <c r="J36" s="211" t="s">
        <v>75</v>
      </c>
      <c r="K36" s="211" t="s">
        <v>232</v>
      </c>
      <c r="L36" s="213">
        <f>L41</f>
        <v>513775.60000000009</v>
      </c>
      <c r="M36" s="211">
        <v>22</v>
      </c>
      <c r="N36" s="213">
        <f>L36*M36/100</f>
        <v>113030.63200000003</v>
      </c>
    </row>
    <row r="37" spans="1:15" x14ac:dyDescent="0.2">
      <c r="B37" s="211"/>
      <c r="C37" s="211" t="s">
        <v>134</v>
      </c>
      <c r="D37" s="211" t="s">
        <v>117</v>
      </c>
      <c r="E37" s="213">
        <v>0</v>
      </c>
      <c r="F37" s="211">
        <v>10</v>
      </c>
      <c r="G37" s="213">
        <f>E37*F37/100</f>
        <v>0</v>
      </c>
      <c r="H37" s="214"/>
      <c r="I37" s="211"/>
      <c r="J37" s="213" t="s">
        <v>134</v>
      </c>
      <c r="K37" s="213" t="s">
        <v>117</v>
      </c>
      <c r="L37" s="213">
        <v>0</v>
      </c>
      <c r="M37" s="213">
        <v>10</v>
      </c>
      <c r="N37" s="213">
        <v>0</v>
      </c>
    </row>
    <row r="38" spans="1:15" x14ac:dyDescent="0.2">
      <c r="B38" s="211"/>
      <c r="C38" s="211" t="s">
        <v>132</v>
      </c>
      <c r="D38" s="211" t="s">
        <v>235</v>
      </c>
      <c r="E38" s="213">
        <f>E41</f>
        <v>831942.02000000014</v>
      </c>
      <c r="F38" s="211">
        <v>2.9</v>
      </c>
      <c r="G38" s="213">
        <f>E38*F38/100</f>
        <v>24126.318580000006</v>
      </c>
      <c r="H38" s="214"/>
      <c r="I38" s="225"/>
      <c r="J38" s="213" t="s">
        <v>132</v>
      </c>
      <c r="K38" s="213" t="s">
        <v>231</v>
      </c>
      <c r="L38" s="213">
        <f>L41</f>
        <v>513775.60000000009</v>
      </c>
      <c r="M38" s="226">
        <v>2.9</v>
      </c>
      <c r="N38" s="213">
        <f>L38*M38/100</f>
        <v>14899.492400000003</v>
      </c>
    </row>
    <row r="39" spans="1:15" s="73" customFormat="1" x14ac:dyDescent="0.2">
      <c r="B39" s="211"/>
      <c r="C39" s="211" t="s">
        <v>133</v>
      </c>
      <c r="D39" s="213">
        <f>E41</f>
        <v>831942.02000000014</v>
      </c>
      <c r="E39" s="213">
        <f>E41</f>
        <v>831942.02000000014</v>
      </c>
      <c r="F39" s="211">
        <v>5.0999999999999996</v>
      </c>
      <c r="G39" s="213">
        <f>E39*F39/100</f>
        <v>42429.043020000005</v>
      </c>
      <c r="H39" s="227"/>
      <c r="I39" s="225"/>
      <c r="J39" s="213" t="s">
        <v>133</v>
      </c>
      <c r="K39" s="213">
        <f>L41</f>
        <v>513775.60000000009</v>
      </c>
      <c r="L39" s="213">
        <f>L41</f>
        <v>513775.60000000009</v>
      </c>
      <c r="M39" s="226">
        <v>5.0999999999999996</v>
      </c>
      <c r="N39" s="213">
        <f>L39*M39/100</f>
        <v>26202.555600000007</v>
      </c>
    </row>
    <row r="40" spans="1:15" x14ac:dyDescent="0.2">
      <c r="B40" s="219"/>
      <c r="C40" s="208"/>
      <c r="D40" s="208"/>
      <c r="E40" s="228"/>
      <c r="F40" s="219"/>
      <c r="G40" s="228"/>
      <c r="H40" s="214"/>
      <c r="I40" s="211"/>
      <c r="J40" s="220"/>
      <c r="K40" s="220"/>
      <c r="L40" s="220"/>
      <c r="M40" s="220"/>
      <c r="N40" s="213"/>
    </row>
    <row r="41" spans="1:15" x14ac:dyDescent="0.2">
      <c r="B41" s="219"/>
      <c r="C41" s="208" t="s">
        <v>17</v>
      </c>
      <c r="D41" s="208"/>
      <c r="E41" s="220">
        <f>з.п.!P26</f>
        <v>831942.02000000014</v>
      </c>
      <c r="F41" s="208"/>
      <c r="G41" s="220">
        <f>G36+G37+G38+G39</f>
        <v>249582.60600000006</v>
      </c>
      <c r="H41" s="214"/>
      <c r="I41" s="208"/>
      <c r="J41" s="220" t="s">
        <v>17</v>
      </c>
      <c r="K41" s="220"/>
      <c r="L41" s="220">
        <f>з.п.!K42</f>
        <v>513775.60000000009</v>
      </c>
      <c r="M41" s="220"/>
      <c r="N41" s="220">
        <f>N36+N37+N38+N39</f>
        <v>154132.68000000005</v>
      </c>
    </row>
    <row r="42" spans="1:15" x14ac:dyDescent="0.2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</row>
    <row r="43" spans="1:15" x14ac:dyDescent="0.2">
      <c r="B43" s="229"/>
      <c r="C43" s="229"/>
      <c r="D43" s="212"/>
      <c r="E43" s="229"/>
      <c r="F43" s="229"/>
      <c r="G43" s="229"/>
      <c r="H43" s="214"/>
      <c r="I43" s="214"/>
      <c r="J43" s="212"/>
      <c r="K43" s="214"/>
      <c r="L43" s="214"/>
      <c r="M43" s="214"/>
      <c r="N43" s="214"/>
      <c r="O43" s="68"/>
    </row>
    <row r="44" spans="1:15" x14ac:dyDescent="0.2">
      <c r="B44" s="208" t="s">
        <v>5</v>
      </c>
      <c r="C44" s="208" t="s">
        <v>2</v>
      </c>
      <c r="D44" s="208" t="s">
        <v>71</v>
      </c>
      <c r="E44" s="208" t="s">
        <v>29</v>
      </c>
      <c r="F44" s="208" t="s">
        <v>101</v>
      </c>
      <c r="G44" s="208" t="s">
        <v>29</v>
      </c>
      <c r="H44" s="214"/>
      <c r="I44" s="173" t="s">
        <v>5</v>
      </c>
      <c r="J44" s="173" t="s">
        <v>71</v>
      </c>
      <c r="K44" s="173" t="s">
        <v>118</v>
      </c>
      <c r="L44" s="173" t="s">
        <v>102</v>
      </c>
      <c r="M44" s="174" t="s">
        <v>4</v>
      </c>
      <c r="N44" s="230"/>
      <c r="O44" s="68"/>
    </row>
    <row r="45" spans="1:15" x14ac:dyDescent="0.2">
      <c r="B45" s="210" t="s">
        <v>150</v>
      </c>
      <c r="C45" s="211" t="s">
        <v>124</v>
      </c>
      <c r="D45" s="211" t="s">
        <v>236</v>
      </c>
      <c r="E45" s="213">
        <f>E49</f>
        <v>1169987</v>
      </c>
      <c r="F45" s="211">
        <v>22</v>
      </c>
      <c r="G45" s="213">
        <f>E45*F45/100</f>
        <v>257397.14</v>
      </c>
      <c r="H45" s="214"/>
      <c r="I45" s="173">
        <v>10050</v>
      </c>
      <c r="J45" s="175">
        <f>E8</f>
        <v>0</v>
      </c>
      <c r="K45" s="176">
        <f>G8</f>
        <v>0</v>
      </c>
      <c r="L45" s="176">
        <f>J45*0.2/100</f>
        <v>0</v>
      </c>
      <c r="M45" s="177">
        <f>K45+L45</f>
        <v>0</v>
      </c>
      <c r="N45" s="231"/>
      <c r="O45" s="100"/>
    </row>
    <row r="46" spans="1:15" x14ac:dyDescent="0.2">
      <c r="B46" s="211"/>
      <c r="C46" s="211" t="s">
        <v>134</v>
      </c>
      <c r="D46" s="211" t="s">
        <v>117</v>
      </c>
      <c r="E46" s="213">
        <f>E48-E45</f>
        <v>0</v>
      </c>
      <c r="F46" s="211">
        <v>10</v>
      </c>
      <c r="G46" s="213">
        <f>E46*F46/100</f>
        <v>0</v>
      </c>
      <c r="H46" s="214"/>
      <c r="I46" s="178" t="s">
        <v>149</v>
      </c>
      <c r="J46" s="175">
        <f>E17</f>
        <v>4946853.5999999996</v>
      </c>
      <c r="K46" s="176">
        <f>G17</f>
        <v>1182430.8936000001</v>
      </c>
      <c r="L46" s="176">
        <f t="shared" ref="L46:L47" si="0">J46*0.2/100</f>
        <v>9893.7071999999989</v>
      </c>
      <c r="M46" s="177">
        <f t="shared" ref="M46:M47" si="1">K46+L46</f>
        <v>1192324.6008000001</v>
      </c>
      <c r="N46" s="231"/>
      <c r="O46" s="100"/>
    </row>
    <row r="47" spans="1:15" x14ac:dyDescent="0.2">
      <c r="B47" s="211"/>
      <c r="C47" s="211" t="s">
        <v>132</v>
      </c>
      <c r="D47" s="211" t="s">
        <v>235</v>
      </c>
      <c r="E47" s="213">
        <v>1032000</v>
      </c>
      <c r="F47" s="211">
        <v>2.9</v>
      </c>
      <c r="G47" s="213">
        <f>E47*F47/100</f>
        <v>29928</v>
      </c>
      <c r="H47" s="214"/>
      <c r="I47" s="178" t="s">
        <v>150</v>
      </c>
      <c r="J47" s="175">
        <f>E24+E33+E41+E49+L8+L17+L25+L33+L41+E58+E66</f>
        <v>11670561.500000002</v>
      </c>
      <c r="K47" s="176">
        <f>G24+G33+G41+G49+N8+N17+N25+N33+N41</f>
        <v>3527969.3206800004</v>
      </c>
      <c r="L47" s="176">
        <f t="shared" si="0"/>
        <v>23341.123000000003</v>
      </c>
      <c r="M47" s="177">
        <f t="shared" si="1"/>
        <v>3551310.4436800005</v>
      </c>
      <c r="N47" s="232"/>
      <c r="O47" s="100"/>
    </row>
    <row r="48" spans="1:15" x14ac:dyDescent="0.2">
      <c r="B48" s="211"/>
      <c r="C48" s="211" t="s">
        <v>133</v>
      </c>
      <c r="D48" s="213">
        <f>E49</f>
        <v>1169987</v>
      </c>
      <c r="E48" s="213">
        <f>E49</f>
        <v>1169987</v>
      </c>
      <c r="F48" s="211">
        <v>5.0999999999999996</v>
      </c>
      <c r="G48" s="213">
        <f>E48*F48/100</f>
        <v>59669.336999999992</v>
      </c>
      <c r="H48" s="214"/>
      <c r="I48" s="179"/>
      <c r="J48" s="180"/>
      <c r="K48" s="180"/>
      <c r="L48" s="180"/>
      <c r="M48" s="174"/>
      <c r="N48" s="232"/>
      <c r="O48" s="68"/>
    </row>
    <row r="49" spans="2:15" x14ac:dyDescent="0.2">
      <c r="B49" s="219"/>
      <c r="C49" s="208" t="s">
        <v>17</v>
      </c>
      <c r="D49" s="208"/>
      <c r="E49" s="228">
        <f>з.п.!P29</f>
        <v>1169987</v>
      </c>
      <c r="F49" s="219"/>
      <c r="G49" s="228">
        <f>G45+G46+G47+G48</f>
        <v>346994.47700000001</v>
      </c>
      <c r="H49" s="214"/>
      <c r="I49" s="173" t="s">
        <v>17</v>
      </c>
      <c r="J49" s="175">
        <f t="shared" ref="J49:M49" si="2">J45+J46+J47</f>
        <v>16617415.100000001</v>
      </c>
      <c r="K49" s="175">
        <f t="shared" si="2"/>
        <v>4710400.21428</v>
      </c>
      <c r="L49" s="175">
        <f t="shared" si="2"/>
        <v>33234.830200000004</v>
      </c>
      <c r="M49" s="181">
        <f t="shared" si="2"/>
        <v>4743635.0444800006</v>
      </c>
      <c r="N49" s="230"/>
      <c r="O49" s="100"/>
    </row>
    <row r="50" spans="2:15" x14ac:dyDescent="0.2">
      <c r="B50" s="66"/>
      <c r="C50" s="66"/>
      <c r="D50" s="68"/>
      <c r="E50" s="66"/>
      <c r="F50" s="66"/>
      <c r="G50" s="66"/>
    </row>
    <row r="51" spans="2:15" x14ac:dyDescent="0.2">
      <c r="C51" s="68"/>
      <c r="J51" s="68"/>
    </row>
    <row r="52" spans="2:15" x14ac:dyDescent="0.2">
      <c r="B52" s="68"/>
      <c r="C52" s="68"/>
      <c r="D52" s="68"/>
      <c r="E52" s="68"/>
      <c r="F52" s="68"/>
      <c r="I52" s="68"/>
      <c r="J52" s="68"/>
      <c r="K52" s="68"/>
      <c r="L52" s="68"/>
      <c r="M52" s="68"/>
    </row>
    <row r="53" spans="2:15" x14ac:dyDescent="0.2">
      <c r="B53" s="101"/>
      <c r="D53" s="76"/>
      <c r="E53" s="76"/>
      <c r="F53" s="76"/>
      <c r="I53" s="101"/>
      <c r="K53" s="76"/>
      <c r="L53" s="76"/>
      <c r="M53" s="76"/>
    </row>
    <row r="54" spans="2:15" x14ac:dyDescent="0.2">
      <c r="B54" s="101"/>
      <c r="D54" s="76"/>
      <c r="E54" s="76"/>
      <c r="F54" s="76"/>
      <c r="I54" s="101"/>
      <c r="K54" s="76"/>
      <c r="L54" s="76"/>
      <c r="M54" s="76"/>
    </row>
    <row r="55" spans="2:15" x14ac:dyDescent="0.2">
      <c r="B55" s="68"/>
      <c r="C55" s="68"/>
      <c r="D55" s="100"/>
      <c r="E55" s="68"/>
      <c r="F55" s="100"/>
      <c r="I55" s="68"/>
      <c r="J55" s="68"/>
      <c r="K55" s="100"/>
      <c r="L55" s="68"/>
      <c r="M55" s="100"/>
    </row>
    <row r="56" spans="2:15" x14ac:dyDescent="0.2">
      <c r="D56" s="76"/>
      <c r="F56" s="76"/>
      <c r="K56" s="76"/>
      <c r="M56" s="76"/>
    </row>
    <row r="68" spans="2:7" x14ac:dyDescent="0.2">
      <c r="C68" s="68"/>
    </row>
    <row r="69" spans="2:7" x14ac:dyDescent="0.2">
      <c r="B69" s="64"/>
      <c r="C69" s="64"/>
      <c r="E69" s="64"/>
      <c r="G69" s="64"/>
    </row>
    <row r="70" spans="2:7" x14ac:dyDescent="0.2">
      <c r="B70" s="64"/>
      <c r="C70" s="64"/>
      <c r="E70" s="64"/>
      <c r="G70" s="64"/>
    </row>
    <row r="71" spans="2:7" x14ac:dyDescent="0.2">
      <c r="B71" s="74"/>
      <c r="E71" s="74"/>
      <c r="F71" s="74"/>
      <c r="G71" s="75"/>
    </row>
    <row r="72" spans="2:7" x14ac:dyDescent="0.2">
      <c r="B72" s="67"/>
      <c r="C72" s="68"/>
      <c r="D72" s="68"/>
      <c r="E72" s="68"/>
      <c r="F72" s="68"/>
      <c r="G72" s="68"/>
    </row>
    <row r="75" spans="2:7" x14ac:dyDescent="0.2">
      <c r="B75" s="68"/>
      <c r="C75" s="68"/>
      <c r="D75" s="68"/>
    </row>
    <row r="78" spans="2:7" x14ac:dyDescent="0.2">
      <c r="D78" s="70"/>
    </row>
    <row r="79" spans="2:7" x14ac:dyDescent="0.2">
      <c r="C79" s="68"/>
      <c r="D79" s="72"/>
    </row>
  </sheetData>
  <pageMargins left="0.11811023622047245" right="0" top="0.15748031496062992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topLeftCell="A7" workbookViewId="0">
      <selection activeCell="E19" sqref="E18:E19"/>
    </sheetView>
  </sheetViews>
  <sheetFormatPr defaultColWidth="8.85546875" defaultRowHeight="9.75" x14ac:dyDescent="0.2"/>
  <cols>
    <col min="1" max="1" width="4.7109375" style="58" customWidth="1"/>
    <col min="2" max="2" width="14.28515625" style="58" customWidth="1"/>
    <col min="3" max="3" width="1" style="58" hidden="1" customWidth="1"/>
    <col min="4" max="4" width="8.7109375" style="58" customWidth="1"/>
    <col min="5" max="5" width="9.28515625" style="58" customWidth="1"/>
    <col min="6" max="6" width="8.7109375" style="58" customWidth="1"/>
    <col min="7" max="7" width="8.85546875" style="58" customWidth="1"/>
    <col min="8" max="12" width="8.28515625" style="58" customWidth="1"/>
    <col min="13" max="14" width="8.85546875" style="58" customWidth="1"/>
    <col min="15" max="15" width="9.42578125" style="58" customWidth="1"/>
    <col min="16" max="18" width="8.28515625" style="58" customWidth="1"/>
    <col min="19" max="19" width="8.140625" style="58" customWidth="1"/>
    <col min="20" max="16384" width="8.85546875" style="58"/>
  </cols>
  <sheetData>
    <row r="2" spans="1:18" s="31" customFormat="1" ht="9" x14ac:dyDescent="0.15">
      <c r="G2" s="31" t="s">
        <v>0</v>
      </c>
    </row>
    <row r="3" spans="1:18" x14ac:dyDescent="0.2">
      <c r="L3" s="97"/>
    </row>
    <row r="4" spans="1:18" s="31" customFormat="1" ht="9" x14ac:dyDescent="0.15">
      <c r="H4" s="32" t="s">
        <v>227</v>
      </c>
    </row>
    <row r="5" spans="1:18" s="33" customFormat="1" x14ac:dyDescent="0.2"/>
    <row r="6" spans="1:18" s="34" customFormat="1" ht="9" x14ac:dyDescent="0.15">
      <c r="B6" s="32" t="s">
        <v>1</v>
      </c>
      <c r="C6" s="32"/>
      <c r="D6" s="32"/>
      <c r="G6" s="160"/>
    </row>
    <row r="7" spans="1:18" s="33" customFormat="1" x14ac:dyDescent="0.2"/>
    <row r="8" spans="1:18" s="34" customFormat="1" ht="9" x14ac:dyDescent="0.15">
      <c r="E8" s="34" t="s">
        <v>11</v>
      </c>
    </row>
    <row r="9" spans="1:18" s="33" customFormat="1" x14ac:dyDescent="0.2"/>
    <row r="10" spans="1:18" s="37" customFormat="1" ht="9" x14ac:dyDescent="0.15">
      <c r="A10" s="35" t="s">
        <v>5</v>
      </c>
      <c r="B10" s="36" t="s">
        <v>2</v>
      </c>
      <c r="C10" s="35" t="s">
        <v>6</v>
      </c>
      <c r="D10" s="123" t="s">
        <v>6</v>
      </c>
      <c r="E10" s="35" t="s">
        <v>20</v>
      </c>
      <c r="F10" s="36" t="s">
        <v>12</v>
      </c>
      <c r="G10" s="36" t="s">
        <v>24</v>
      </c>
      <c r="H10" s="36" t="s">
        <v>13</v>
      </c>
      <c r="I10" s="36" t="s">
        <v>54</v>
      </c>
      <c r="J10" s="35" t="s">
        <v>56</v>
      </c>
      <c r="K10" s="35" t="s">
        <v>17</v>
      </c>
      <c r="L10" s="35" t="s">
        <v>3</v>
      </c>
      <c r="M10" s="35" t="s">
        <v>16</v>
      </c>
      <c r="N10" s="35" t="s">
        <v>4</v>
      </c>
    </row>
    <row r="11" spans="1:18" s="37" customFormat="1" ht="9" x14ac:dyDescent="0.15">
      <c r="A11" s="38"/>
      <c r="B11" s="39"/>
      <c r="C11" s="39"/>
      <c r="D11" s="38"/>
      <c r="E11" s="38"/>
      <c r="F11" s="39"/>
      <c r="G11" s="39"/>
      <c r="H11" s="39"/>
      <c r="I11" s="38" t="s">
        <v>60</v>
      </c>
      <c r="J11" s="38" t="s">
        <v>57</v>
      </c>
      <c r="K11" s="38" t="s">
        <v>64</v>
      </c>
      <c r="L11" s="39"/>
      <c r="M11" s="38"/>
      <c r="N11" s="39"/>
    </row>
    <row r="12" spans="1:18" s="37" customFormat="1" ht="9" x14ac:dyDescent="0.15">
      <c r="A12" s="40"/>
      <c r="B12" s="41"/>
      <c r="C12" s="41"/>
      <c r="D12" s="40"/>
      <c r="E12" s="40" t="s">
        <v>22</v>
      </c>
      <c r="F12" s="40" t="s">
        <v>21</v>
      </c>
      <c r="G12" s="40" t="s">
        <v>23</v>
      </c>
      <c r="H12" s="40" t="s">
        <v>25</v>
      </c>
      <c r="I12" s="40" t="s">
        <v>59</v>
      </c>
      <c r="J12" s="40" t="s">
        <v>58</v>
      </c>
      <c r="K12" s="40"/>
      <c r="L12" s="41"/>
      <c r="M12" s="40"/>
      <c r="N12" s="41"/>
    </row>
    <row r="13" spans="1:18" s="44" customFormat="1" ht="19.5" x14ac:dyDescent="0.2">
      <c r="A13" s="42">
        <v>10050</v>
      </c>
      <c r="B13" s="125" t="s">
        <v>145</v>
      </c>
      <c r="C13" s="43">
        <v>8100</v>
      </c>
      <c r="D13" s="43">
        <v>0</v>
      </c>
      <c r="E13" s="43">
        <f>D13*12</f>
        <v>0</v>
      </c>
      <c r="F13" s="43">
        <f>D13*4</f>
        <v>0</v>
      </c>
      <c r="G13" s="43">
        <f>D13*24</f>
        <v>0</v>
      </c>
      <c r="H13" s="43">
        <f>D13*3</f>
        <v>0</v>
      </c>
      <c r="I13" s="43">
        <f>D13*3</f>
        <v>0</v>
      </c>
      <c r="J13" s="43">
        <f>D13*O35*12</f>
        <v>0</v>
      </c>
      <c r="K13" s="43">
        <f>E13+F13+G13+H13+I13+J13</f>
        <v>0</v>
      </c>
      <c r="L13" s="43">
        <f>K13*0.8</f>
        <v>0</v>
      </c>
      <c r="M13" s="43">
        <f>K13*0.8</f>
        <v>0</v>
      </c>
      <c r="N13" s="43">
        <f>K13+L13+M13</f>
        <v>0</v>
      </c>
    </row>
    <row r="14" spans="1:18" s="47" customFormat="1" x14ac:dyDescent="0.2">
      <c r="A14" s="45">
        <v>10040</v>
      </c>
      <c r="B14" s="45" t="s">
        <v>7</v>
      </c>
      <c r="C14" s="46">
        <v>6318</v>
      </c>
      <c r="D14" s="43">
        <v>12042</v>
      </c>
      <c r="E14" s="43">
        <f>D14*12</f>
        <v>144504</v>
      </c>
      <c r="F14" s="43">
        <f>D14*4</f>
        <v>48168</v>
      </c>
      <c r="G14" s="43">
        <f>D14*24</f>
        <v>289008</v>
      </c>
      <c r="H14" s="43">
        <f>D14*3</f>
        <v>36126</v>
      </c>
      <c r="I14" s="43">
        <f>D14*3</f>
        <v>36126</v>
      </c>
      <c r="J14" s="43">
        <f>D14*O35*12</f>
        <v>397386</v>
      </c>
      <c r="K14" s="43">
        <f>E14+F14+G14+H14+I14+J14</f>
        <v>951318</v>
      </c>
      <c r="L14" s="43">
        <f>K14*0.8</f>
        <v>761054.4</v>
      </c>
      <c r="M14" s="43">
        <f>K14*0.8</f>
        <v>761054.4</v>
      </c>
      <c r="N14" s="43">
        <f>K14+L14+M14</f>
        <v>2473426.7999999998</v>
      </c>
      <c r="O14" s="44"/>
      <c r="P14" s="44"/>
      <c r="Q14" s="44"/>
      <c r="R14" s="44"/>
    </row>
    <row r="15" spans="1:18" s="47" customFormat="1" x14ac:dyDescent="0.2">
      <c r="A15" s="45">
        <v>10040</v>
      </c>
      <c r="B15" s="45" t="s">
        <v>7</v>
      </c>
      <c r="C15" s="46">
        <v>6318</v>
      </c>
      <c r="D15" s="43">
        <v>12042</v>
      </c>
      <c r="E15" s="43">
        <f>D15*12</f>
        <v>144504</v>
      </c>
      <c r="F15" s="43">
        <f>D15*4</f>
        <v>48168</v>
      </c>
      <c r="G15" s="43">
        <f>D15*24</f>
        <v>289008</v>
      </c>
      <c r="H15" s="43">
        <f>D15*3</f>
        <v>36126</v>
      </c>
      <c r="I15" s="43">
        <f>D15*3</f>
        <v>36126</v>
      </c>
      <c r="J15" s="43">
        <f>D15*O35*12</f>
        <v>397386</v>
      </c>
      <c r="K15" s="43">
        <f>E15+F15+G15+H15+I15+J15</f>
        <v>951318</v>
      </c>
      <c r="L15" s="43">
        <f>K15*0.8</f>
        <v>761054.4</v>
      </c>
      <c r="M15" s="43">
        <f>K15*0.8</f>
        <v>761054.4</v>
      </c>
      <c r="N15" s="43">
        <f>K15+L15+M15</f>
        <v>2473426.7999999998</v>
      </c>
      <c r="O15" s="44"/>
      <c r="P15" s="44"/>
      <c r="Q15" s="44"/>
      <c r="R15" s="44"/>
    </row>
    <row r="16" spans="1:18" s="37" customFormat="1" ht="9" x14ac:dyDescent="0.15">
      <c r="A16" s="48"/>
      <c r="B16" s="49" t="s">
        <v>19</v>
      </c>
      <c r="C16" s="49"/>
      <c r="D16" s="50"/>
      <c r="E16" s="50">
        <f>SUM(E13:E15)</f>
        <v>289008</v>
      </c>
      <c r="F16" s="50">
        <f t="shared" ref="F16:M16" si="0">SUM(F13:F15)</f>
        <v>96336</v>
      </c>
      <c r="G16" s="50">
        <f t="shared" si="0"/>
        <v>578016</v>
      </c>
      <c r="H16" s="50">
        <f t="shared" si="0"/>
        <v>72252</v>
      </c>
      <c r="I16" s="50">
        <f t="shared" si="0"/>
        <v>72252</v>
      </c>
      <c r="J16" s="50">
        <f t="shared" si="0"/>
        <v>794772</v>
      </c>
      <c r="K16" s="50">
        <f t="shared" si="0"/>
        <v>1902636</v>
      </c>
      <c r="L16" s="50">
        <f t="shared" si="0"/>
        <v>1522108.8</v>
      </c>
      <c r="M16" s="50">
        <f t="shared" si="0"/>
        <v>1522108.8</v>
      </c>
      <c r="N16" s="129">
        <f>SUM(N13:N15)</f>
        <v>4946853.5999999996</v>
      </c>
      <c r="O16" s="51"/>
      <c r="P16" s="51"/>
    </row>
    <row r="17" spans="1:20" s="47" customFormat="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53">
        <f>K13+K15</f>
        <v>951318</v>
      </c>
      <c r="L17" s="33"/>
      <c r="M17" s="33"/>
      <c r="N17" s="52">
        <f>N13+N14+N15</f>
        <v>4946853.5999999996</v>
      </c>
      <c r="O17" s="53"/>
    </row>
    <row r="18" spans="1:20" s="47" customFormat="1" x14ac:dyDescent="0.2">
      <c r="A18" s="33"/>
      <c r="B18" s="33"/>
      <c r="C18" s="33"/>
      <c r="D18" s="33"/>
      <c r="E18" s="34" t="s">
        <v>69</v>
      </c>
      <c r="F18" s="33"/>
      <c r="G18" s="33"/>
      <c r="H18" s="33"/>
      <c r="I18" s="33"/>
      <c r="J18" s="33"/>
      <c r="K18" s="33"/>
      <c r="L18" s="33"/>
      <c r="M18" s="33"/>
      <c r="N18" s="52"/>
      <c r="O18" s="57"/>
      <c r="P18" s="37"/>
    </row>
    <row r="19" spans="1:20" s="47" customForma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53"/>
    </row>
    <row r="20" spans="1:20" s="37" customFormat="1" ht="9" x14ac:dyDescent="0.15">
      <c r="A20" s="35" t="s">
        <v>5</v>
      </c>
      <c r="B20" s="35" t="s">
        <v>2</v>
      </c>
      <c r="C20" s="35" t="s">
        <v>6</v>
      </c>
      <c r="D20" s="123" t="s">
        <v>6</v>
      </c>
      <c r="E20" s="36" t="s">
        <v>27</v>
      </c>
      <c r="F20" s="35" t="s">
        <v>12</v>
      </c>
      <c r="G20" s="36" t="s">
        <v>24</v>
      </c>
      <c r="H20" s="36" t="s">
        <v>28</v>
      </c>
      <c r="I20" s="36" t="s">
        <v>26</v>
      </c>
      <c r="J20" s="35" t="s">
        <v>56</v>
      </c>
      <c r="K20" s="35" t="s">
        <v>67</v>
      </c>
      <c r="L20" s="35" t="s">
        <v>68</v>
      </c>
      <c r="M20" s="35" t="s">
        <v>17</v>
      </c>
      <c r="N20" s="35" t="s">
        <v>3</v>
      </c>
      <c r="O20" s="35" t="s">
        <v>16</v>
      </c>
      <c r="P20" s="128" t="s">
        <v>4</v>
      </c>
      <c r="Q20" s="130"/>
    </row>
    <row r="21" spans="1:20" s="37" customFormat="1" ht="9" x14ac:dyDescent="0.15">
      <c r="A21" s="38"/>
      <c r="B21" s="38"/>
      <c r="C21" s="38"/>
      <c r="D21" s="38"/>
      <c r="E21" s="38">
        <v>12</v>
      </c>
      <c r="F21" s="103" t="s">
        <v>139</v>
      </c>
      <c r="G21" s="38"/>
      <c r="H21" s="103">
        <v>2</v>
      </c>
      <c r="I21" s="103">
        <v>2.5</v>
      </c>
      <c r="J21" s="38" t="s">
        <v>57</v>
      </c>
      <c r="K21" s="38" t="s">
        <v>63</v>
      </c>
      <c r="L21" s="38" t="s">
        <v>61</v>
      </c>
      <c r="M21" s="38" t="s">
        <v>64</v>
      </c>
      <c r="N21" s="39"/>
      <c r="O21" s="38"/>
      <c r="P21" s="130"/>
      <c r="Q21" s="130"/>
    </row>
    <row r="22" spans="1:20" s="37" customFormat="1" ht="9" x14ac:dyDescent="0.15">
      <c r="A22" s="40"/>
      <c r="B22" s="40"/>
      <c r="C22" s="40"/>
      <c r="D22" s="40"/>
      <c r="E22" s="40"/>
      <c r="F22" s="40"/>
      <c r="G22" s="40"/>
      <c r="H22" s="40"/>
      <c r="I22" s="40"/>
      <c r="J22" s="40" t="s">
        <v>64</v>
      </c>
      <c r="K22" s="40" t="s">
        <v>55</v>
      </c>
      <c r="L22" s="40" t="s">
        <v>62</v>
      </c>
      <c r="M22" s="40"/>
      <c r="N22" s="41"/>
      <c r="O22" s="40"/>
      <c r="P22" s="130"/>
      <c r="Q22" s="130"/>
    </row>
    <row r="23" spans="1:20" s="47" customFormat="1" x14ac:dyDescent="0.2">
      <c r="A23" s="54">
        <v>10010</v>
      </c>
      <c r="B23" s="55" t="s">
        <v>18</v>
      </c>
      <c r="C23" s="80">
        <v>5848</v>
      </c>
      <c r="D23" s="43">
        <v>11139</v>
      </c>
      <c r="E23" s="43">
        <f t="shared" ref="E23:E30" si="1">D23*12</f>
        <v>133668</v>
      </c>
      <c r="F23" s="43">
        <f t="shared" ref="F23:F30" si="2">D23*30/100*12</f>
        <v>40100.399999999994</v>
      </c>
      <c r="G23" s="43">
        <f>E23*P36/100</f>
        <v>267336</v>
      </c>
      <c r="H23" s="43">
        <f t="shared" ref="H23:H30" si="3">D23*200/100</f>
        <v>22278</v>
      </c>
      <c r="I23" s="43">
        <f t="shared" ref="I23:I30" si="4">D23*250/100</f>
        <v>27847.5</v>
      </c>
      <c r="J23" s="54">
        <f>E23*O36</f>
        <v>287386.2</v>
      </c>
      <c r="K23" s="43">
        <f t="shared" ref="K23:K30" si="5">D23*0.5</f>
        <v>5569.5</v>
      </c>
      <c r="L23" s="43">
        <f t="shared" ref="L23:L30" si="6">D23*1.5</f>
        <v>16708.5</v>
      </c>
      <c r="M23" s="43">
        <f t="shared" ref="M23:M30" si="7">E23+F23+G23+H23+I23+J23+K23+L23</f>
        <v>800894.10000000009</v>
      </c>
      <c r="N23" s="43">
        <f t="shared" ref="N23:N30" si="8">M23*0.8</f>
        <v>640715.28000000014</v>
      </c>
      <c r="O23" s="43">
        <f t="shared" ref="O23:O30" si="9">M23*0.8</f>
        <v>640715.28000000014</v>
      </c>
      <c r="P23" s="131">
        <f t="shared" ref="P23:P30" si="10">M23+N23+O23</f>
        <v>2082324.6600000006</v>
      </c>
      <c r="Q23" s="132"/>
      <c r="R23" s="44"/>
      <c r="S23" s="44"/>
      <c r="T23" s="44"/>
    </row>
    <row r="24" spans="1:20" s="47" customFormat="1" x14ac:dyDescent="0.2">
      <c r="A24" s="45"/>
      <c r="B24" s="45"/>
      <c r="C24" s="46"/>
      <c r="D24" s="43"/>
      <c r="E24" s="43"/>
      <c r="F24" s="43"/>
      <c r="G24" s="43"/>
      <c r="H24" s="43"/>
      <c r="I24" s="43"/>
      <c r="J24" s="46"/>
      <c r="K24" s="43"/>
      <c r="L24" s="43"/>
      <c r="M24" s="43"/>
      <c r="N24" s="43"/>
      <c r="O24" s="43"/>
      <c r="P24" s="131"/>
      <c r="Q24" s="132"/>
      <c r="R24" s="44"/>
      <c r="S24" s="44"/>
      <c r="T24" s="44"/>
    </row>
    <row r="25" spans="1:20" s="47" customFormat="1" x14ac:dyDescent="0.2">
      <c r="A25" s="45">
        <v>10010</v>
      </c>
      <c r="B25" s="45" t="s">
        <v>8</v>
      </c>
      <c r="C25" s="46">
        <v>4255</v>
      </c>
      <c r="D25" s="43">
        <v>8511</v>
      </c>
      <c r="E25" s="43">
        <f t="shared" si="1"/>
        <v>102132</v>
      </c>
      <c r="F25" s="43">
        <f t="shared" si="2"/>
        <v>30639.600000000002</v>
      </c>
      <c r="G25" s="43">
        <f>E25*P37/100</f>
        <v>153198</v>
      </c>
      <c r="H25" s="43">
        <f t="shared" si="3"/>
        <v>17022</v>
      </c>
      <c r="I25" s="43">
        <f t="shared" si="4"/>
        <v>21277.5</v>
      </c>
      <c r="J25" s="46">
        <f>E25*O37</f>
        <v>117451.79999999999</v>
      </c>
      <c r="K25" s="43">
        <f t="shared" si="5"/>
        <v>4255.5</v>
      </c>
      <c r="L25" s="43">
        <f t="shared" si="6"/>
        <v>12766.5</v>
      </c>
      <c r="M25" s="43">
        <f t="shared" si="7"/>
        <v>458742.89999999997</v>
      </c>
      <c r="N25" s="43">
        <f t="shared" si="8"/>
        <v>366994.32</v>
      </c>
      <c r="O25" s="43">
        <f t="shared" si="9"/>
        <v>366994.32</v>
      </c>
      <c r="P25" s="131">
        <f t="shared" si="10"/>
        <v>1192731.54</v>
      </c>
      <c r="Q25" s="132"/>
      <c r="R25" s="44"/>
      <c r="S25" s="44"/>
      <c r="T25" s="44"/>
    </row>
    <row r="26" spans="1:20" s="47" customFormat="1" x14ac:dyDescent="0.2">
      <c r="A26" s="45">
        <v>10010</v>
      </c>
      <c r="B26" s="45" t="s">
        <v>179</v>
      </c>
      <c r="C26" s="46">
        <v>3312</v>
      </c>
      <c r="D26" s="43">
        <v>6905</v>
      </c>
      <c r="E26" s="43">
        <f t="shared" ref="E26" si="11">D26*12</f>
        <v>82860</v>
      </c>
      <c r="F26" s="43">
        <f t="shared" ref="F26" si="12">D26*30/100*12</f>
        <v>24858</v>
      </c>
      <c r="G26" s="43">
        <f>E26*P38/100</f>
        <v>99432</v>
      </c>
      <c r="H26" s="43">
        <f t="shared" ref="H26" si="13">D26*200/100</f>
        <v>13810</v>
      </c>
      <c r="I26" s="43">
        <f t="shared" ref="I26" si="14">D26*250/100</f>
        <v>17262.5</v>
      </c>
      <c r="J26" s="46">
        <f>E26*O39</f>
        <v>67945.2</v>
      </c>
      <c r="K26" s="43">
        <f t="shared" ref="K26" si="15">D26*0.5</f>
        <v>3452.5</v>
      </c>
      <c r="L26" s="43">
        <f t="shared" ref="L26" si="16">D26*1.5</f>
        <v>10357.5</v>
      </c>
      <c r="M26" s="43">
        <f t="shared" ref="M26" si="17">E26+F26+G26+H26+I26+J26+K26+L26</f>
        <v>319977.7</v>
      </c>
      <c r="N26" s="43">
        <f t="shared" ref="N26" si="18">M26*0.8</f>
        <v>255982.16000000003</v>
      </c>
      <c r="O26" s="43">
        <f t="shared" ref="O26" si="19">M26*0.8</f>
        <v>255982.16000000003</v>
      </c>
      <c r="P26" s="131">
        <f t="shared" ref="P26" si="20">M26+N26+O26</f>
        <v>831942.02000000014</v>
      </c>
      <c r="Q26" s="132"/>
      <c r="R26" s="44"/>
      <c r="S26" s="44"/>
      <c r="T26" s="44"/>
    </row>
    <row r="27" spans="1:20" s="47" customFormat="1" x14ac:dyDescent="0.2">
      <c r="A27" s="45"/>
      <c r="B27" s="45"/>
      <c r="C27" s="46"/>
      <c r="D27" s="43"/>
      <c r="E27" s="43"/>
      <c r="F27" s="43"/>
      <c r="G27" s="43"/>
      <c r="H27" s="43"/>
      <c r="I27" s="43"/>
      <c r="J27" s="46"/>
      <c r="K27" s="43"/>
      <c r="L27" s="43"/>
      <c r="M27" s="43"/>
      <c r="N27" s="43"/>
      <c r="O27" s="43"/>
      <c r="P27" s="131"/>
      <c r="Q27" s="132"/>
      <c r="R27" s="44"/>
      <c r="S27" s="44"/>
      <c r="T27" s="44"/>
    </row>
    <row r="28" spans="1:20" s="47" customFormat="1" x14ac:dyDescent="0.2">
      <c r="A28" s="45">
        <v>10010</v>
      </c>
      <c r="B28" s="56" t="s">
        <v>9</v>
      </c>
      <c r="C28" s="81">
        <v>4255</v>
      </c>
      <c r="D28" s="43">
        <v>8511</v>
      </c>
      <c r="E28" s="43">
        <f t="shared" si="1"/>
        <v>102132</v>
      </c>
      <c r="F28" s="43">
        <f t="shared" si="2"/>
        <v>30639.600000000002</v>
      </c>
      <c r="G28" s="43">
        <f>E28*P37/100</f>
        <v>153198</v>
      </c>
      <c r="H28" s="43">
        <f t="shared" si="3"/>
        <v>17022</v>
      </c>
      <c r="I28" s="43">
        <f t="shared" si="4"/>
        <v>21277.5</v>
      </c>
      <c r="J28" s="46">
        <f>E28*O37</f>
        <v>117451.79999999999</v>
      </c>
      <c r="K28" s="43">
        <f t="shared" si="5"/>
        <v>4255.5</v>
      </c>
      <c r="L28" s="43">
        <f t="shared" si="6"/>
        <v>12766.5</v>
      </c>
      <c r="M28" s="43">
        <f t="shared" si="7"/>
        <v>458742.89999999997</v>
      </c>
      <c r="N28" s="43">
        <f t="shared" si="8"/>
        <v>366994.32</v>
      </c>
      <c r="O28" s="43">
        <f t="shared" si="9"/>
        <v>366994.32</v>
      </c>
      <c r="P28" s="131">
        <f t="shared" si="10"/>
        <v>1192731.54</v>
      </c>
      <c r="Q28" s="132"/>
      <c r="R28" s="44"/>
      <c r="S28" s="44"/>
      <c r="T28" s="44"/>
    </row>
    <row r="29" spans="1:20" s="47" customFormat="1" ht="18.600000000000001" customHeight="1" x14ac:dyDescent="0.2">
      <c r="A29" s="45">
        <v>10010</v>
      </c>
      <c r="B29" s="126" t="s">
        <v>119</v>
      </c>
      <c r="C29" s="81"/>
      <c r="D29" s="43">
        <v>7826</v>
      </c>
      <c r="E29" s="43">
        <f t="shared" si="1"/>
        <v>93912</v>
      </c>
      <c r="F29" s="43">
        <f t="shared" si="2"/>
        <v>28173.600000000002</v>
      </c>
      <c r="G29" s="43">
        <f>E29*P38/100</f>
        <v>112694.39999999999</v>
      </c>
      <c r="H29" s="43">
        <f t="shared" si="3"/>
        <v>15652</v>
      </c>
      <c r="I29" s="43">
        <f t="shared" si="4"/>
        <v>19565</v>
      </c>
      <c r="J29" s="46">
        <f>E29*O38</f>
        <v>164346</v>
      </c>
      <c r="K29" s="43">
        <f t="shared" si="5"/>
        <v>3913</v>
      </c>
      <c r="L29" s="43">
        <f t="shared" si="6"/>
        <v>11739</v>
      </c>
      <c r="M29" s="43">
        <f t="shared" si="7"/>
        <v>449995</v>
      </c>
      <c r="N29" s="43">
        <f t="shared" si="8"/>
        <v>359996</v>
      </c>
      <c r="O29" s="43">
        <f t="shared" si="9"/>
        <v>359996</v>
      </c>
      <c r="P29" s="131">
        <f t="shared" si="10"/>
        <v>1169987</v>
      </c>
      <c r="Q29" s="132"/>
      <c r="R29" s="44"/>
      <c r="S29" s="44"/>
      <c r="T29" s="44"/>
    </row>
    <row r="30" spans="1:20" s="47" customFormat="1" x14ac:dyDescent="0.2">
      <c r="A30" s="45">
        <v>10010</v>
      </c>
      <c r="B30" s="45" t="s">
        <v>10</v>
      </c>
      <c r="C30" s="46">
        <v>4255</v>
      </c>
      <c r="D30" s="43">
        <v>8511</v>
      </c>
      <c r="E30" s="43">
        <f t="shared" si="1"/>
        <v>102132</v>
      </c>
      <c r="F30" s="43">
        <f t="shared" si="2"/>
        <v>30639.600000000002</v>
      </c>
      <c r="G30" s="43">
        <f>E30*P37/100</f>
        <v>153198</v>
      </c>
      <c r="H30" s="43">
        <f t="shared" si="3"/>
        <v>17022</v>
      </c>
      <c r="I30" s="43">
        <f t="shared" si="4"/>
        <v>21277.5</v>
      </c>
      <c r="J30" s="46">
        <f>E30*O37</f>
        <v>117451.79999999999</v>
      </c>
      <c r="K30" s="43">
        <f t="shared" si="5"/>
        <v>4255.5</v>
      </c>
      <c r="L30" s="43">
        <f t="shared" si="6"/>
        <v>12766.5</v>
      </c>
      <c r="M30" s="43">
        <f t="shared" si="7"/>
        <v>458742.89999999997</v>
      </c>
      <c r="N30" s="43">
        <f t="shared" si="8"/>
        <v>366994.32</v>
      </c>
      <c r="O30" s="43">
        <f t="shared" si="9"/>
        <v>366994.32</v>
      </c>
      <c r="P30" s="131">
        <f t="shared" si="10"/>
        <v>1192731.54</v>
      </c>
      <c r="Q30" s="132"/>
      <c r="R30" s="44"/>
      <c r="S30" s="44"/>
      <c r="T30" s="44"/>
    </row>
    <row r="31" spans="1:20" s="37" customFormat="1" ht="9" x14ac:dyDescent="0.15">
      <c r="A31" s="48"/>
      <c r="B31" s="48" t="s">
        <v>15</v>
      </c>
      <c r="C31" s="48"/>
      <c r="D31" s="50"/>
      <c r="E31" s="50">
        <f>E23+E24+E25+E26+E27+E28+E29+E30</f>
        <v>616836</v>
      </c>
      <c r="F31" s="50">
        <f t="shared" ref="F31:M31" si="21">F23+F24+F25+F26+F27+F28+F29+F30</f>
        <v>185050.80000000002</v>
      </c>
      <c r="G31" s="50">
        <f t="shared" si="21"/>
        <v>939056.4</v>
      </c>
      <c r="H31" s="50">
        <f t="shared" si="21"/>
        <v>102806</v>
      </c>
      <c r="I31" s="50">
        <f t="shared" si="21"/>
        <v>128507.5</v>
      </c>
      <c r="J31" s="50">
        <f t="shared" si="21"/>
        <v>872032.8</v>
      </c>
      <c r="K31" s="50">
        <f t="shared" si="21"/>
        <v>25701.5</v>
      </c>
      <c r="L31" s="50">
        <f t="shared" si="21"/>
        <v>77104.5</v>
      </c>
      <c r="M31" s="50">
        <f t="shared" si="21"/>
        <v>2947095.4999999995</v>
      </c>
      <c r="N31" s="50">
        <f t="shared" ref="N31" si="22">N23+N24+N25+N26+N27+N28+N29+N30</f>
        <v>2357676.4000000004</v>
      </c>
      <c r="O31" s="50">
        <f t="shared" ref="O31:P31" si="23">O23+O24+O25+O26+O27+O28+O29+O30</f>
        <v>2357676.4000000004</v>
      </c>
      <c r="P31" s="50">
        <f t="shared" si="23"/>
        <v>7662448.3000000007</v>
      </c>
      <c r="Q31" s="133"/>
      <c r="R31" s="51"/>
      <c r="S31" s="51"/>
      <c r="T31" s="51"/>
    </row>
    <row r="32" spans="1:20" s="37" customFormat="1" x14ac:dyDescent="0.2">
      <c r="A32" s="34"/>
      <c r="B32" s="34"/>
      <c r="C32" s="34"/>
      <c r="D32" s="34"/>
      <c r="E32" s="57"/>
      <c r="F32" s="57"/>
      <c r="G32" s="57"/>
      <c r="H32" s="57"/>
      <c r="I32" s="57"/>
      <c r="J32" s="57"/>
      <c r="K32" s="57">
        <f>K31*2.6</f>
        <v>66823.900000000009</v>
      </c>
      <c r="L32" s="57">
        <f>L31*2.6</f>
        <v>200471.7</v>
      </c>
      <c r="M32" s="57">
        <f>E31+F31+G31+H31+I31+J31+K31+L31</f>
        <v>2947095.5</v>
      </c>
      <c r="N32" s="57"/>
      <c r="O32" s="52"/>
      <c r="P32" s="52">
        <f>P23+P24+P25+P26+P27+P28+P29+P30</f>
        <v>7662448.3000000007</v>
      </c>
      <c r="R32" s="51"/>
    </row>
    <row r="33" spans="1:19" s="37" customFormat="1" ht="9" x14ac:dyDescent="0.15">
      <c r="A33" s="34"/>
      <c r="B33" s="34"/>
      <c r="C33" s="34"/>
      <c r="D33" s="34"/>
      <c r="E33" s="34" t="s">
        <v>70</v>
      </c>
      <c r="F33" s="34"/>
      <c r="G33" s="34"/>
      <c r="H33" s="34"/>
      <c r="I33" s="34"/>
      <c r="J33" s="34"/>
      <c r="K33" s="34"/>
      <c r="L33" s="57"/>
      <c r="M33" s="34"/>
      <c r="N33" s="34" t="s">
        <v>88</v>
      </c>
      <c r="O33" s="57"/>
      <c r="P33" s="97" t="s">
        <v>138</v>
      </c>
      <c r="R33" s="51"/>
      <c r="S33" s="51"/>
    </row>
    <row r="34" spans="1:19" s="37" customFormat="1" x14ac:dyDescent="0.2">
      <c r="A34" s="34"/>
      <c r="B34" s="34"/>
      <c r="C34" s="34"/>
      <c r="D34" s="34"/>
      <c r="E34" s="32"/>
      <c r="F34" s="34"/>
      <c r="G34" s="34"/>
      <c r="H34" s="34"/>
      <c r="I34" s="34"/>
      <c r="J34" s="34"/>
      <c r="K34" s="34"/>
      <c r="L34" s="34"/>
      <c r="M34" s="34"/>
      <c r="N34" s="32"/>
      <c r="O34" s="34"/>
      <c r="P34" s="58"/>
    </row>
    <row r="35" spans="1:19" s="47" customFormat="1" x14ac:dyDescent="0.2">
      <c r="A35" s="48" t="s">
        <v>5</v>
      </c>
      <c r="B35" s="48" t="s">
        <v>2</v>
      </c>
      <c r="C35" s="48"/>
      <c r="D35" s="78" t="s">
        <v>6</v>
      </c>
      <c r="E35" s="48" t="s">
        <v>20</v>
      </c>
      <c r="F35" s="48" t="s">
        <v>91</v>
      </c>
      <c r="G35" s="48" t="s">
        <v>93</v>
      </c>
      <c r="H35" s="48" t="s">
        <v>17</v>
      </c>
      <c r="I35" s="48" t="s">
        <v>66</v>
      </c>
      <c r="J35" s="48" t="s">
        <v>16</v>
      </c>
      <c r="K35" s="48" t="s">
        <v>4</v>
      </c>
      <c r="L35" s="37"/>
      <c r="M35" s="124"/>
      <c r="N35" s="127" t="s">
        <v>121</v>
      </c>
      <c r="O35" s="46">
        <v>2.75</v>
      </c>
      <c r="P35" s="62">
        <v>200</v>
      </c>
    </row>
    <row r="36" spans="1:19" s="47" customFormat="1" x14ac:dyDescent="0.2">
      <c r="A36" s="48"/>
      <c r="B36" s="48"/>
      <c r="C36" s="48"/>
      <c r="D36" s="49"/>
      <c r="E36" s="48"/>
      <c r="F36" s="48" t="s">
        <v>92</v>
      </c>
      <c r="G36" s="48" t="s">
        <v>92</v>
      </c>
      <c r="H36" s="48" t="s">
        <v>64</v>
      </c>
      <c r="I36" s="48"/>
      <c r="J36" s="48"/>
      <c r="K36" s="78"/>
      <c r="M36" s="124"/>
      <c r="N36" s="127" t="s">
        <v>89</v>
      </c>
      <c r="O36" s="46">
        <v>2.15</v>
      </c>
      <c r="P36" s="62">
        <v>200</v>
      </c>
    </row>
    <row r="37" spans="1:19" s="47" customFormat="1" x14ac:dyDescent="0.2">
      <c r="A37" s="45"/>
      <c r="B37" s="56"/>
      <c r="C37" s="56"/>
      <c r="D37" s="45"/>
      <c r="E37" s="48" t="s">
        <v>65</v>
      </c>
      <c r="F37" s="48" t="s">
        <v>146</v>
      </c>
      <c r="G37" s="48" t="s">
        <v>147</v>
      </c>
      <c r="H37" s="46"/>
      <c r="I37" s="46"/>
      <c r="J37" s="46"/>
      <c r="K37" s="46"/>
      <c r="L37" s="44"/>
      <c r="M37" s="104"/>
      <c r="N37" s="127" t="s">
        <v>122</v>
      </c>
      <c r="O37" s="46">
        <v>1.1499999999999999</v>
      </c>
      <c r="P37" s="62">
        <v>150</v>
      </c>
    </row>
    <row r="38" spans="1:19" s="47" customFormat="1" x14ac:dyDescent="0.2">
      <c r="A38" s="45">
        <v>10010</v>
      </c>
      <c r="B38" s="45" t="s">
        <v>130</v>
      </c>
      <c r="C38" s="46">
        <v>3060</v>
      </c>
      <c r="D38" s="46">
        <v>5504</v>
      </c>
      <c r="E38" s="46">
        <f>D38*12</f>
        <v>66048</v>
      </c>
      <c r="F38" s="46">
        <f>D38*18</f>
        <v>99072</v>
      </c>
      <c r="G38" s="46">
        <f>D38*28</f>
        <v>154112</v>
      </c>
      <c r="H38" s="46">
        <f>E38+F38+G38</f>
        <v>319232</v>
      </c>
      <c r="I38" s="46">
        <f>H38*0.8</f>
        <v>255385.60000000001</v>
      </c>
      <c r="J38" s="46">
        <f>H38*0.8</f>
        <v>255385.60000000001</v>
      </c>
      <c r="K38" s="46">
        <f>H38+I38+J38</f>
        <v>830003.19999999995</v>
      </c>
      <c r="L38" s="44"/>
      <c r="M38" s="134"/>
      <c r="N38" s="62" t="s">
        <v>123</v>
      </c>
      <c r="O38" s="46">
        <v>1.75</v>
      </c>
      <c r="P38" s="62">
        <v>120</v>
      </c>
    </row>
    <row r="39" spans="1:19" s="47" customFormat="1" x14ac:dyDescent="0.2">
      <c r="A39" s="45">
        <v>10010</v>
      </c>
      <c r="B39" s="45" t="s">
        <v>90</v>
      </c>
      <c r="C39" s="46">
        <v>3060</v>
      </c>
      <c r="D39" s="46">
        <v>6285</v>
      </c>
      <c r="E39" s="46">
        <f>D39*12</f>
        <v>75420</v>
      </c>
      <c r="F39" s="46">
        <f>D39*18</f>
        <v>113130</v>
      </c>
      <c r="G39" s="46">
        <f>D39*28</f>
        <v>175980</v>
      </c>
      <c r="H39" s="46">
        <f t="shared" ref="H39:H42" si="24">E39+F39+G39</f>
        <v>364530</v>
      </c>
      <c r="I39" s="46">
        <f t="shared" ref="I39:I42" si="25">H39*0.8</f>
        <v>291624</v>
      </c>
      <c r="J39" s="46">
        <f t="shared" ref="J39:J42" si="26">H39*0.8</f>
        <v>291624</v>
      </c>
      <c r="K39" s="46">
        <f t="shared" ref="K39:K42" si="27">H39+I39+J39</f>
        <v>947778</v>
      </c>
      <c r="L39" s="44"/>
      <c r="M39" s="134"/>
      <c r="N39" s="127" t="s">
        <v>120</v>
      </c>
      <c r="O39" s="46">
        <v>0.82</v>
      </c>
      <c r="P39" s="62">
        <v>120</v>
      </c>
    </row>
    <row r="40" spans="1:19" s="47" customFormat="1" x14ac:dyDescent="0.2">
      <c r="A40" s="45">
        <v>10010</v>
      </c>
      <c r="B40" s="45" t="s">
        <v>174</v>
      </c>
      <c r="C40" s="46"/>
      <c r="D40" s="46">
        <v>5098</v>
      </c>
      <c r="E40" s="46">
        <f>D40*12</f>
        <v>61176</v>
      </c>
      <c r="F40" s="46">
        <f>D40*18</f>
        <v>91764</v>
      </c>
      <c r="G40" s="46">
        <f>D40*28</f>
        <v>142744</v>
      </c>
      <c r="H40" s="46">
        <f t="shared" si="24"/>
        <v>295684</v>
      </c>
      <c r="I40" s="46">
        <f t="shared" si="25"/>
        <v>236547.20000000001</v>
      </c>
      <c r="J40" s="46">
        <f t="shared" si="26"/>
        <v>236547.20000000001</v>
      </c>
      <c r="K40" s="46">
        <f t="shared" si="27"/>
        <v>768778.39999999991</v>
      </c>
      <c r="L40" s="44"/>
      <c r="M40" s="134"/>
      <c r="N40" s="127" t="s">
        <v>225</v>
      </c>
      <c r="O40" s="46">
        <v>1.55</v>
      </c>
      <c r="P40" s="62">
        <v>180</v>
      </c>
    </row>
    <row r="41" spans="1:19" s="47" customFormat="1" x14ac:dyDescent="0.2">
      <c r="A41" s="45">
        <v>10010</v>
      </c>
      <c r="B41" s="45" t="s">
        <v>218</v>
      </c>
      <c r="C41" s="46">
        <v>2534</v>
      </c>
      <c r="D41" s="46">
        <v>6285</v>
      </c>
      <c r="E41" s="46">
        <f>D41*12</f>
        <v>75420</v>
      </c>
      <c r="F41" s="46">
        <f>D41*18</f>
        <v>113130</v>
      </c>
      <c r="G41" s="46">
        <f>D41*28</f>
        <v>175980</v>
      </c>
      <c r="H41" s="46">
        <f t="shared" si="24"/>
        <v>364530</v>
      </c>
      <c r="I41" s="46">
        <f t="shared" si="25"/>
        <v>291624</v>
      </c>
      <c r="J41" s="46">
        <f t="shared" si="26"/>
        <v>291624</v>
      </c>
      <c r="K41" s="46">
        <f t="shared" si="27"/>
        <v>947778</v>
      </c>
      <c r="L41" s="44"/>
      <c r="M41" s="134"/>
      <c r="N41" s="127"/>
      <c r="O41" s="45"/>
      <c r="P41" s="45"/>
    </row>
    <row r="42" spans="1:19" s="47" customFormat="1" x14ac:dyDescent="0.2">
      <c r="A42" s="45">
        <v>10010</v>
      </c>
      <c r="B42" s="45" t="s">
        <v>14</v>
      </c>
      <c r="C42" s="46">
        <v>1894</v>
      </c>
      <c r="D42" s="46">
        <v>3407</v>
      </c>
      <c r="E42" s="46">
        <f>D42*12</f>
        <v>40884</v>
      </c>
      <c r="F42" s="46">
        <f>D42*18</f>
        <v>61326</v>
      </c>
      <c r="G42" s="46">
        <f>D42*28</f>
        <v>95396</v>
      </c>
      <c r="H42" s="46">
        <f t="shared" si="24"/>
        <v>197606</v>
      </c>
      <c r="I42" s="46">
        <f t="shared" si="25"/>
        <v>158084.80000000002</v>
      </c>
      <c r="J42" s="46">
        <f t="shared" si="26"/>
        <v>158084.80000000002</v>
      </c>
      <c r="K42" s="46">
        <f t="shared" si="27"/>
        <v>513775.60000000009</v>
      </c>
      <c r="L42" s="44"/>
      <c r="M42" s="134"/>
      <c r="N42" s="62"/>
      <c r="O42" s="46"/>
      <c r="P42" s="45"/>
    </row>
    <row r="43" spans="1:19" s="37" customFormat="1" x14ac:dyDescent="0.2">
      <c r="A43" s="48"/>
      <c r="B43" s="48" t="s">
        <v>17</v>
      </c>
      <c r="C43" s="48"/>
      <c r="D43" s="50"/>
      <c r="E43" s="50">
        <f>E38+E39+E40+E41+E42</f>
        <v>318948</v>
      </c>
      <c r="F43" s="50">
        <f t="shared" ref="F43:G43" si="28">F38+F39+F40+F41+F42</f>
        <v>478422</v>
      </c>
      <c r="G43" s="50">
        <f t="shared" si="28"/>
        <v>744212</v>
      </c>
      <c r="H43" s="50">
        <f>H38+H39+H40+H41+H42</f>
        <v>1541582</v>
      </c>
      <c r="I43" s="50">
        <f t="shared" ref="I43:K43" si="29">I38+I39+I40+I41+I42</f>
        <v>1233265.6000000001</v>
      </c>
      <c r="J43" s="50">
        <f t="shared" si="29"/>
        <v>1233265.6000000001</v>
      </c>
      <c r="K43" s="50">
        <f t="shared" si="29"/>
        <v>4008113.1999999997</v>
      </c>
      <c r="L43" s="51"/>
      <c r="M43" s="51"/>
      <c r="N43" s="59"/>
      <c r="O43" s="51"/>
    </row>
    <row r="44" spans="1:19" s="60" customForma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9">
        <f>H43+I43+J43</f>
        <v>4008113.2</v>
      </c>
      <c r="L44" s="59"/>
      <c r="O44" s="51"/>
      <c r="P44" s="98"/>
    </row>
    <row r="45" spans="1:19" s="60" customFormat="1" x14ac:dyDescent="0.2">
      <c r="B45" s="61"/>
      <c r="C45" s="61"/>
      <c r="D45" s="61"/>
      <c r="E45" s="61"/>
      <c r="F45" s="61"/>
      <c r="G45" s="61"/>
      <c r="H45" s="98"/>
      <c r="I45" s="98"/>
      <c r="J45" s="98"/>
      <c r="K45" s="98"/>
      <c r="L45" s="98"/>
      <c r="M45" s="61"/>
      <c r="N45" s="61"/>
      <c r="O45" s="51"/>
      <c r="P45" s="98"/>
    </row>
    <row r="46" spans="1:19" s="60" customFormat="1" x14ac:dyDescent="0.2">
      <c r="A46" s="141" t="s">
        <v>5</v>
      </c>
      <c r="B46" s="141" t="s">
        <v>176</v>
      </c>
      <c r="C46" s="61"/>
      <c r="D46" s="61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51"/>
      <c r="P46" s="98"/>
    </row>
    <row r="47" spans="1:19" x14ac:dyDescent="0.2">
      <c r="A47" s="141">
        <v>10050</v>
      </c>
      <c r="B47" s="149">
        <f>N13</f>
        <v>0</v>
      </c>
      <c r="C47" s="61"/>
      <c r="D47" s="105">
        <f>B47</f>
        <v>0</v>
      </c>
      <c r="E47" s="98"/>
      <c r="F47" s="105"/>
      <c r="G47" s="168"/>
      <c r="H47" s="169"/>
      <c r="I47" s="98"/>
      <c r="J47" s="105"/>
      <c r="K47" s="105"/>
      <c r="L47" s="105"/>
      <c r="M47" s="105"/>
      <c r="N47" s="105"/>
      <c r="O47" s="105"/>
      <c r="P47" s="61"/>
    </row>
    <row r="48" spans="1:19" s="61" customFormat="1" ht="9" x14ac:dyDescent="0.15">
      <c r="A48" s="141">
        <v>10040</v>
      </c>
      <c r="B48" s="149">
        <f>N14+N15</f>
        <v>4946853.5999999996</v>
      </c>
      <c r="D48" s="105">
        <f>B48</f>
        <v>4946853.5999999996</v>
      </c>
      <c r="E48" s="98"/>
      <c r="F48" s="105"/>
      <c r="G48" s="168"/>
      <c r="H48" s="169"/>
      <c r="I48" s="98"/>
      <c r="J48" s="105"/>
      <c r="K48" s="105"/>
      <c r="L48" s="105"/>
      <c r="M48" s="105"/>
      <c r="N48" s="105"/>
      <c r="O48" s="105"/>
    </row>
    <row r="49" spans="1:16" s="60" customFormat="1" x14ac:dyDescent="0.2">
      <c r="A49" s="141">
        <v>10010</v>
      </c>
      <c r="B49" s="150">
        <f>P31+K43</f>
        <v>11670561.5</v>
      </c>
      <c r="D49" s="105">
        <v>11670562</v>
      </c>
      <c r="E49" s="98"/>
      <c r="F49" s="105"/>
      <c r="G49" s="170"/>
      <c r="H49" s="105"/>
      <c r="I49" s="105"/>
      <c r="J49" s="105"/>
      <c r="K49" s="105"/>
      <c r="L49" s="105"/>
      <c r="M49" s="105"/>
      <c r="N49" s="105"/>
      <c r="O49" s="105"/>
      <c r="P49" s="61"/>
    </row>
    <row r="50" spans="1:16" s="60" customFormat="1" x14ac:dyDescent="0.2">
      <c r="A50" s="141" t="s">
        <v>177</v>
      </c>
      <c r="B50" s="149">
        <f>B47+B48+B49</f>
        <v>16617415.1</v>
      </c>
      <c r="C50" s="47"/>
      <c r="D50" s="105">
        <f>B50</f>
        <v>16617415.1</v>
      </c>
      <c r="E50" s="98"/>
      <c r="F50" s="105"/>
      <c r="G50" s="98"/>
      <c r="H50" s="105"/>
      <c r="I50" s="98"/>
      <c r="J50" s="105"/>
      <c r="K50" s="105"/>
      <c r="L50" s="105"/>
      <c r="M50" s="105"/>
      <c r="N50" s="105"/>
      <c r="O50" s="105"/>
      <c r="P50" s="61"/>
    </row>
    <row r="51" spans="1:16" s="60" customFormat="1" x14ac:dyDescent="0.2">
      <c r="B51" s="47"/>
      <c r="C51" s="47"/>
      <c r="E51" s="59"/>
      <c r="F51" s="135"/>
      <c r="G51" s="59"/>
      <c r="H51" s="98"/>
      <c r="I51" s="98"/>
      <c r="M51" s="98"/>
      <c r="N51" s="98"/>
      <c r="O51" s="135"/>
    </row>
    <row r="52" spans="1:16" s="79" customFormat="1" ht="9" x14ac:dyDescent="0.15">
      <c r="B52" s="136"/>
      <c r="C52" s="136"/>
      <c r="E52" s="99"/>
      <c r="F52" s="105"/>
      <c r="G52" s="99"/>
      <c r="H52" s="99"/>
      <c r="I52" s="99"/>
    </row>
    <row r="53" spans="1:16" x14ac:dyDescent="0.2">
      <c r="A53" s="60"/>
      <c r="B53" s="60"/>
      <c r="C53" s="60"/>
      <c r="D53" s="60"/>
      <c r="E53" s="60"/>
      <c r="F53" s="137"/>
      <c r="G53" s="61"/>
      <c r="H53" s="98"/>
      <c r="I53" s="61"/>
      <c r="J53" s="60"/>
      <c r="K53" s="60"/>
      <c r="L53" s="60"/>
      <c r="M53" s="61"/>
      <c r="N53" s="59"/>
    </row>
    <row r="54" spans="1:16" x14ac:dyDescent="0.2">
      <c r="A54" s="60"/>
      <c r="B54" s="60"/>
      <c r="C54" s="60"/>
      <c r="D54" s="60"/>
      <c r="E54" s="59"/>
      <c r="F54" s="60"/>
      <c r="G54" s="61"/>
      <c r="H54" s="105"/>
      <c r="I54" s="98"/>
      <c r="J54" s="60"/>
      <c r="K54" s="60"/>
      <c r="L54" s="60"/>
      <c r="M54" s="60"/>
      <c r="N54" s="60"/>
    </row>
    <row r="55" spans="1:16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</row>
    <row r="56" spans="1:16" x14ac:dyDescent="0.2">
      <c r="A56" s="61"/>
      <c r="B56" s="61"/>
      <c r="C56" s="61"/>
      <c r="D56" s="61"/>
      <c r="E56" s="61"/>
      <c r="F56" s="61"/>
      <c r="G56" s="61"/>
    </row>
    <row r="57" spans="1:16" x14ac:dyDescent="0.2">
      <c r="A57" s="61"/>
      <c r="B57" s="61"/>
      <c r="C57" s="61"/>
      <c r="D57" s="61"/>
      <c r="E57" s="61"/>
      <c r="F57" s="61"/>
      <c r="G57" s="61"/>
    </row>
    <row r="58" spans="1:16" x14ac:dyDescent="0.2">
      <c r="A58" s="61"/>
      <c r="B58" s="61"/>
      <c r="C58" s="61"/>
      <c r="D58" s="61"/>
      <c r="E58" s="61"/>
      <c r="F58" s="61"/>
      <c r="G58" s="61"/>
    </row>
    <row r="59" spans="1:16" x14ac:dyDescent="0.2">
      <c r="A59" s="61"/>
      <c r="B59" s="61"/>
      <c r="C59" s="61"/>
      <c r="D59" s="61"/>
      <c r="E59" s="61"/>
      <c r="F59" s="61"/>
      <c r="G59" s="61"/>
    </row>
  </sheetData>
  <pageMargins left="0.51181102362204722" right="0.51181102362204722" top="0.15748031496062992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F19" sqref="F19"/>
    </sheetView>
  </sheetViews>
  <sheetFormatPr defaultRowHeight="12.75" x14ac:dyDescent="0.2"/>
  <cols>
    <col min="1" max="1" width="6.140625" style="95" customWidth="1"/>
    <col min="2" max="2" width="42.140625" customWidth="1"/>
    <col min="3" max="3" width="8.7109375" style="95" customWidth="1"/>
    <col min="4" max="4" width="10.42578125" style="95" customWidth="1"/>
    <col min="5" max="5" width="10" style="95" customWidth="1"/>
    <col min="6" max="6" width="9.85546875" style="95" customWidth="1"/>
    <col min="7" max="7" width="10" style="95" customWidth="1"/>
    <col min="8" max="8" width="7.5703125" style="95" customWidth="1"/>
    <col min="9" max="9" width="7.7109375" style="95" customWidth="1"/>
    <col min="10" max="10" width="10.140625" style="95" customWidth="1"/>
    <col min="11" max="11" width="11.28515625" bestFit="1" customWidth="1"/>
    <col min="12" max="12" width="11" bestFit="1" customWidth="1"/>
  </cols>
  <sheetData>
    <row r="1" spans="1:13" ht="22.9" customHeight="1" x14ac:dyDescent="0.25">
      <c r="B1" s="77" t="s">
        <v>201</v>
      </c>
      <c r="C1" s="77"/>
      <c r="D1" s="77"/>
      <c r="E1" s="77" t="s">
        <v>228</v>
      </c>
      <c r="F1" s="77"/>
      <c r="G1" s="77"/>
      <c r="H1" s="77"/>
      <c r="I1" s="102"/>
      <c r="J1" s="110"/>
    </row>
    <row r="2" spans="1:13" ht="15.75" x14ac:dyDescent="0.25">
      <c r="B2" s="77"/>
      <c r="C2" s="77"/>
      <c r="D2" s="77"/>
      <c r="E2" s="77"/>
      <c r="F2" s="77"/>
      <c r="G2" s="77"/>
      <c r="H2" s="77"/>
      <c r="I2" s="77"/>
      <c r="K2" s="5">
        <v>2024</v>
      </c>
      <c r="L2" s="5">
        <v>2025</v>
      </c>
    </row>
    <row r="3" spans="1:13" x14ac:dyDescent="0.2">
      <c r="A3" s="96"/>
      <c r="B3" s="146" t="s">
        <v>98</v>
      </c>
      <c r="C3" s="258" t="s">
        <v>115</v>
      </c>
      <c r="D3" s="259"/>
      <c r="E3" s="260" t="s">
        <v>116</v>
      </c>
      <c r="F3" s="260"/>
      <c r="G3" s="259"/>
      <c r="H3" s="148" t="s">
        <v>96</v>
      </c>
      <c r="I3" s="147">
        <v>1001</v>
      </c>
      <c r="J3" s="65"/>
      <c r="K3" s="69" t="s">
        <v>200</v>
      </c>
      <c r="L3" s="89" t="s">
        <v>200</v>
      </c>
      <c r="M3" s="188" t="s">
        <v>264</v>
      </c>
    </row>
    <row r="4" spans="1:13" s="22" customFormat="1" ht="21.6" customHeight="1" x14ac:dyDescent="0.2">
      <c r="A4" s="17" t="s">
        <v>114</v>
      </c>
      <c r="B4" s="69" t="s">
        <v>86</v>
      </c>
      <c r="C4" s="90"/>
      <c r="D4" s="90" t="s">
        <v>87</v>
      </c>
      <c r="E4" s="90" t="s">
        <v>128</v>
      </c>
      <c r="F4" s="90" t="s">
        <v>129</v>
      </c>
      <c r="G4" s="90" t="s">
        <v>95</v>
      </c>
      <c r="H4" s="91" t="s">
        <v>113</v>
      </c>
      <c r="I4" s="92" t="s">
        <v>87</v>
      </c>
      <c r="J4" s="69" t="s">
        <v>97</v>
      </c>
      <c r="K4" s="69">
        <v>1.04</v>
      </c>
      <c r="L4" s="69">
        <v>1.04</v>
      </c>
    </row>
    <row r="5" spans="1:13" s="5" customFormat="1" ht="21" customHeight="1" x14ac:dyDescent="0.2">
      <c r="A5" s="17"/>
      <c r="B5" s="93" t="s">
        <v>99</v>
      </c>
      <c r="C5" s="83">
        <f>C6+C7+C8</f>
        <v>0</v>
      </c>
      <c r="D5" s="83">
        <f>D6+D7+D8</f>
        <v>0</v>
      </c>
      <c r="E5" s="83">
        <f>E6+E7+E8</f>
        <v>6377678.2007999998</v>
      </c>
      <c r="F5" s="83">
        <f>F6+F7+F8</f>
        <v>15822372.44368</v>
      </c>
      <c r="G5" s="83">
        <f>G6+G7+G8</f>
        <v>22200050.644480001</v>
      </c>
      <c r="H5" s="140"/>
      <c r="I5" s="83"/>
      <c r="J5" s="83">
        <f>J6+J7+J8</f>
        <v>22200050.644480001</v>
      </c>
      <c r="K5" s="158">
        <f>K6+K7+K8</f>
        <v>22233610.644480001</v>
      </c>
      <c r="L5" s="158">
        <f>L6+L7+L8</f>
        <v>22268513.04448</v>
      </c>
    </row>
    <row r="6" spans="1:13" ht="21" customHeight="1" x14ac:dyDescent="0.2">
      <c r="A6" s="85">
        <v>121</v>
      </c>
      <c r="B6" s="89" t="s">
        <v>76</v>
      </c>
      <c r="C6" s="84">
        <f>Общая!C9</f>
        <v>0</v>
      </c>
      <c r="D6" s="84">
        <f>Общая!D9</f>
        <v>0</v>
      </c>
      <c r="E6" s="84">
        <f>Общая!E9</f>
        <v>4946853.5999999996</v>
      </c>
      <c r="F6" s="84">
        <f>Общая!F9</f>
        <v>11670562</v>
      </c>
      <c r="G6" s="84">
        <f>E6+F6</f>
        <v>16617415.6</v>
      </c>
      <c r="H6" s="139"/>
      <c r="I6" s="84"/>
      <c r="J6" s="84">
        <f>G6+D6</f>
        <v>16617415.6</v>
      </c>
      <c r="K6" s="159">
        <f>J6</f>
        <v>16617415.6</v>
      </c>
      <c r="L6" s="159">
        <f>J6</f>
        <v>16617415.6</v>
      </c>
    </row>
    <row r="7" spans="1:13" ht="20.25" customHeight="1" x14ac:dyDescent="0.2">
      <c r="A7" s="85">
        <v>122</v>
      </c>
      <c r="B7" s="89" t="s">
        <v>77</v>
      </c>
      <c r="C7" s="84">
        <f>Общая!C10</f>
        <v>0</v>
      </c>
      <c r="D7" s="84">
        <f>C7</f>
        <v>0</v>
      </c>
      <c r="E7" s="84">
        <f>Общая!E10</f>
        <v>238500</v>
      </c>
      <c r="F7" s="84">
        <f>Общая!F10</f>
        <v>600500</v>
      </c>
      <c r="G7" s="84">
        <f>E7+F7</f>
        <v>839000</v>
      </c>
      <c r="H7" s="139"/>
      <c r="I7" s="84"/>
      <c r="J7" s="84">
        <f t="shared" ref="J7:J8" si="0">G7+D7</f>
        <v>839000</v>
      </c>
      <c r="K7" s="159">
        <f t="shared" ref="K7" si="1">J7*1.04</f>
        <v>872560</v>
      </c>
      <c r="L7" s="159">
        <f>K7*1.04</f>
        <v>907462.4</v>
      </c>
    </row>
    <row r="8" spans="1:13" ht="21" customHeight="1" x14ac:dyDescent="0.2">
      <c r="A8" s="85">
        <v>129</v>
      </c>
      <c r="B8" s="89" t="s">
        <v>78</v>
      </c>
      <c r="C8" s="84">
        <f>Общая!C11</f>
        <v>0</v>
      </c>
      <c r="D8" s="84">
        <f>C8</f>
        <v>0</v>
      </c>
      <c r="E8" s="84">
        <f>Общая!E11</f>
        <v>1192324.6008000001</v>
      </c>
      <c r="F8" s="84">
        <f>Общая!F11</f>
        <v>3551310.4436800005</v>
      </c>
      <c r="G8" s="84">
        <f>E8+F8</f>
        <v>4743635.0444800006</v>
      </c>
      <c r="H8" s="139"/>
      <c r="I8" s="84"/>
      <c r="J8" s="84">
        <f t="shared" si="0"/>
        <v>4743635.0444800006</v>
      </c>
      <c r="K8" s="159">
        <f>J8</f>
        <v>4743635.0444800006</v>
      </c>
      <c r="L8" s="159">
        <f>K8</f>
        <v>4743635.0444800006</v>
      </c>
    </row>
    <row r="9" spans="1:13" s="5" customFormat="1" ht="21.75" customHeight="1" x14ac:dyDescent="0.2">
      <c r="A9" s="17">
        <v>244</v>
      </c>
      <c r="B9" s="93" t="s">
        <v>198</v>
      </c>
      <c r="C9" s="83"/>
      <c r="D9" s="83"/>
      <c r="E9" s="83"/>
      <c r="F9" s="83">
        <f>F10+F11+F12+F13+F14+F15+F16</f>
        <v>4436592.6000000006</v>
      </c>
      <c r="G9" s="83">
        <f>G10+G11+G12+G13+G14+G15+G16</f>
        <v>4436592.6000000006</v>
      </c>
      <c r="H9" s="140"/>
      <c r="I9" s="83"/>
      <c r="J9" s="83">
        <f>G9</f>
        <v>4436592.6000000006</v>
      </c>
      <c r="K9" s="158">
        <f>K10+K11+K12+K13+K14+K15+K16</f>
        <v>4614056.3040000005</v>
      </c>
      <c r="L9" s="158">
        <f>L10+L11+L12+L13+L14+L15+L16</f>
        <v>4798618.5561600011</v>
      </c>
    </row>
    <row r="10" spans="1:13" ht="19.5" customHeight="1" x14ac:dyDescent="0.2">
      <c r="A10" s="85">
        <v>244</v>
      </c>
      <c r="B10" s="89" t="s">
        <v>79</v>
      </c>
      <c r="C10" s="84"/>
      <c r="D10" s="84"/>
      <c r="E10" s="84"/>
      <c r="F10" s="84">
        <f>Общая!F13</f>
        <v>201162.4</v>
      </c>
      <c r="G10" s="84">
        <f>F10</f>
        <v>201162.4</v>
      </c>
      <c r="H10" s="139"/>
      <c r="I10" s="84"/>
      <c r="J10" s="84">
        <f>G10</f>
        <v>201162.4</v>
      </c>
      <c r="K10" s="159">
        <f>J10*1.04</f>
        <v>209208.89600000001</v>
      </c>
      <c r="L10" s="159">
        <f>K10*1.04</f>
        <v>217577.25184000001</v>
      </c>
    </row>
    <row r="11" spans="1:13" ht="20.25" customHeight="1" x14ac:dyDescent="0.2">
      <c r="A11" s="85">
        <v>244</v>
      </c>
      <c r="B11" s="89" t="s">
        <v>80</v>
      </c>
      <c r="C11" s="84"/>
      <c r="D11" s="84"/>
      <c r="E11" s="84"/>
      <c r="F11" s="84">
        <v>0</v>
      </c>
      <c r="G11" s="84">
        <f>F11</f>
        <v>0</v>
      </c>
      <c r="H11" s="139"/>
      <c r="I11" s="84"/>
      <c r="J11" s="84">
        <f>G11+I11</f>
        <v>0</v>
      </c>
      <c r="K11" s="159">
        <f t="shared" ref="K11:L16" si="2">J11*1.04</f>
        <v>0</v>
      </c>
      <c r="L11" s="159">
        <f t="shared" si="2"/>
        <v>0</v>
      </c>
    </row>
    <row r="12" spans="1:13" ht="21" customHeight="1" x14ac:dyDescent="0.2">
      <c r="A12" s="85">
        <v>244</v>
      </c>
      <c r="B12" s="89" t="s">
        <v>81</v>
      </c>
      <c r="C12" s="84"/>
      <c r="D12" s="84"/>
      <c r="E12" s="84"/>
      <c r="F12" s="84">
        <f>Общая!F15</f>
        <v>1473661.2000000002</v>
      </c>
      <c r="G12" s="84">
        <f t="shared" ref="G12:G19" si="3">C12+E12+F12</f>
        <v>1473661.2000000002</v>
      </c>
      <c r="H12" s="139"/>
      <c r="I12" s="84"/>
      <c r="J12" s="84">
        <f>G12+I12</f>
        <v>1473661.2000000002</v>
      </c>
      <c r="K12" s="159">
        <f t="shared" si="2"/>
        <v>1532607.6480000003</v>
      </c>
      <c r="L12" s="159">
        <f t="shared" si="2"/>
        <v>1593911.9539200002</v>
      </c>
    </row>
    <row r="13" spans="1:13" ht="21" customHeight="1" x14ac:dyDescent="0.2">
      <c r="A13" s="85">
        <v>244</v>
      </c>
      <c r="B13" s="89" t="s">
        <v>82</v>
      </c>
      <c r="C13" s="84"/>
      <c r="D13" s="84"/>
      <c r="E13" s="84"/>
      <c r="F13" s="84">
        <f>Общая!F16</f>
        <v>213774</v>
      </c>
      <c r="G13" s="84">
        <f t="shared" si="3"/>
        <v>213774</v>
      </c>
      <c r="H13" s="139"/>
      <c r="I13" s="84"/>
      <c r="J13" s="84">
        <f>G13+I13</f>
        <v>213774</v>
      </c>
      <c r="K13" s="159">
        <f t="shared" si="2"/>
        <v>222324.96000000002</v>
      </c>
      <c r="L13" s="159">
        <f t="shared" si="2"/>
        <v>231217.95840000003</v>
      </c>
    </row>
    <row r="14" spans="1:13" ht="21" customHeight="1" x14ac:dyDescent="0.2">
      <c r="A14" s="85">
        <v>244</v>
      </c>
      <c r="B14" s="89" t="s">
        <v>83</v>
      </c>
      <c r="C14" s="84"/>
      <c r="D14" s="84"/>
      <c r="E14" s="84"/>
      <c r="F14" s="84">
        <f>Общая!F17</f>
        <v>1552051.6800000002</v>
      </c>
      <c r="G14" s="84">
        <f>F14</f>
        <v>1552051.6800000002</v>
      </c>
      <c r="H14" s="139"/>
      <c r="I14" s="84"/>
      <c r="J14" s="84">
        <f>G14+I14</f>
        <v>1552051.6800000002</v>
      </c>
      <c r="K14" s="159">
        <f t="shared" si="2"/>
        <v>1614133.7472000003</v>
      </c>
      <c r="L14" s="159">
        <f t="shared" si="2"/>
        <v>1678699.0970880005</v>
      </c>
    </row>
    <row r="15" spans="1:13" s="5" customFormat="1" ht="21.75" customHeight="1" x14ac:dyDescent="0.2">
      <c r="A15" s="82">
        <v>244</v>
      </c>
      <c r="B15" s="89" t="s">
        <v>85</v>
      </c>
      <c r="C15" s="84"/>
      <c r="D15" s="84"/>
      <c r="E15" s="84"/>
      <c r="F15" s="84">
        <f>Общая!F18</f>
        <v>805943.32000000007</v>
      </c>
      <c r="G15" s="84">
        <f>F15</f>
        <v>805943.32000000007</v>
      </c>
      <c r="H15" s="139"/>
      <c r="I15" s="84"/>
      <c r="J15" s="84">
        <f>G15</f>
        <v>805943.32000000007</v>
      </c>
      <c r="K15" s="159">
        <f t="shared" si="2"/>
        <v>838181.05280000006</v>
      </c>
      <c r="L15" s="159">
        <f t="shared" si="2"/>
        <v>871708.29491200007</v>
      </c>
    </row>
    <row r="16" spans="1:13" s="27" customFormat="1" ht="21" customHeight="1" x14ac:dyDescent="0.2">
      <c r="A16" s="82">
        <v>244</v>
      </c>
      <c r="B16" s="89" t="s">
        <v>84</v>
      </c>
      <c r="C16" s="84"/>
      <c r="D16" s="84"/>
      <c r="E16" s="84"/>
      <c r="F16" s="84">
        <f>Общая!F19</f>
        <v>190000</v>
      </c>
      <c r="G16" s="84">
        <f>F16</f>
        <v>190000</v>
      </c>
      <c r="H16" s="139"/>
      <c r="I16" s="84"/>
      <c r="J16" s="84">
        <f>G16</f>
        <v>190000</v>
      </c>
      <c r="K16" s="159">
        <f t="shared" si="2"/>
        <v>197600</v>
      </c>
      <c r="L16" s="159">
        <f t="shared" si="2"/>
        <v>205504</v>
      </c>
    </row>
    <row r="17" spans="1:12" s="27" customFormat="1" ht="21" customHeight="1" x14ac:dyDescent="0.2">
      <c r="A17" s="17">
        <v>850</v>
      </c>
      <c r="B17" s="93" t="s">
        <v>199</v>
      </c>
      <c r="C17" s="83"/>
      <c r="D17" s="83"/>
      <c r="E17" s="83"/>
      <c r="F17" s="83">
        <f>F18+F19+F20</f>
        <v>20000</v>
      </c>
      <c r="G17" s="83">
        <f>G18+G19+G20</f>
        <v>20000</v>
      </c>
      <c r="H17" s="140"/>
      <c r="I17" s="83"/>
      <c r="J17" s="83">
        <f>J18+J19+J20</f>
        <v>20000</v>
      </c>
      <c r="K17" s="158">
        <f>J17</f>
        <v>20000</v>
      </c>
      <c r="L17" s="158">
        <f>L18+L19+L20</f>
        <v>20000</v>
      </c>
    </row>
    <row r="18" spans="1:12" s="27" customFormat="1" ht="21" customHeight="1" x14ac:dyDescent="0.2">
      <c r="A18" s="82">
        <v>851</v>
      </c>
      <c r="B18" s="89" t="s">
        <v>143</v>
      </c>
      <c r="C18" s="84"/>
      <c r="D18" s="84"/>
      <c r="E18" s="84"/>
      <c r="F18" s="84">
        <f>расчет!F171</f>
        <v>0</v>
      </c>
      <c r="G18" s="84">
        <f>F18</f>
        <v>0</v>
      </c>
      <c r="H18" s="139"/>
      <c r="I18" s="84"/>
      <c r="J18" s="84">
        <f>G18</f>
        <v>0</v>
      </c>
      <c r="K18" s="159">
        <f>J18</f>
        <v>0</v>
      </c>
      <c r="L18" s="159">
        <f>K18</f>
        <v>0</v>
      </c>
    </row>
    <row r="19" spans="1:12" s="27" customFormat="1" ht="21.75" customHeight="1" x14ac:dyDescent="0.2">
      <c r="A19" s="82">
        <v>852</v>
      </c>
      <c r="B19" s="89" t="s">
        <v>144</v>
      </c>
      <c r="C19" s="84"/>
      <c r="D19" s="84"/>
      <c r="E19" s="84"/>
      <c r="F19" s="84">
        <f>Общая!F22</f>
        <v>18000</v>
      </c>
      <c r="G19" s="84">
        <f t="shared" si="3"/>
        <v>18000</v>
      </c>
      <c r="H19" s="139"/>
      <c r="I19" s="84"/>
      <c r="J19" s="84">
        <f>G19+I19</f>
        <v>18000</v>
      </c>
      <c r="K19" s="159">
        <f>J19</f>
        <v>18000</v>
      </c>
      <c r="L19" s="159">
        <f t="shared" ref="L19:L20" si="4">K19</f>
        <v>18000</v>
      </c>
    </row>
    <row r="20" spans="1:12" s="5" customFormat="1" ht="15.75" customHeight="1" x14ac:dyDescent="0.2">
      <c r="A20" s="82">
        <v>853</v>
      </c>
      <c r="B20" s="89" t="s">
        <v>196</v>
      </c>
      <c r="C20" s="84"/>
      <c r="D20" s="84"/>
      <c r="E20" s="84"/>
      <c r="F20" s="84">
        <f>Общая!F23</f>
        <v>2000</v>
      </c>
      <c r="G20" s="84">
        <f>F20</f>
        <v>2000</v>
      </c>
      <c r="H20" s="139"/>
      <c r="I20" s="84"/>
      <c r="J20" s="84">
        <f>G20</f>
        <v>2000</v>
      </c>
      <c r="K20" s="159">
        <f>J20</f>
        <v>2000</v>
      </c>
      <c r="L20" s="159">
        <f t="shared" si="4"/>
        <v>2000</v>
      </c>
    </row>
    <row r="21" spans="1:12" s="5" customFormat="1" ht="18" customHeight="1" x14ac:dyDescent="0.2">
      <c r="A21" s="17"/>
      <c r="B21" s="93" t="s">
        <v>87</v>
      </c>
      <c r="C21" s="83">
        <f>C5+C9+C19+C20</f>
        <v>0</v>
      </c>
      <c r="D21" s="83">
        <f>D5</f>
        <v>0</v>
      </c>
      <c r="E21" s="83">
        <f>E5+E9+E19+E20</f>
        <v>6377678.2007999998</v>
      </c>
      <c r="F21" s="83">
        <f>F5+F9+F17</f>
        <v>20278965.043680001</v>
      </c>
      <c r="G21" s="83">
        <f>G5+G9+G17</f>
        <v>26656643.244480003</v>
      </c>
      <c r="H21" s="83">
        <v>0</v>
      </c>
      <c r="I21" s="83">
        <v>0</v>
      </c>
      <c r="J21" s="83">
        <f>J5+J9+J17</f>
        <v>26656643.244480003</v>
      </c>
      <c r="K21" s="158">
        <f>K5+K9+K17</f>
        <v>26867666.948480003</v>
      </c>
      <c r="L21" s="158">
        <f>L5+L9+L17</f>
        <v>27087131.600639999</v>
      </c>
    </row>
    <row r="22" spans="1:12" x14ac:dyDescent="0.2">
      <c r="B22" s="94"/>
      <c r="C22" s="111"/>
      <c r="D22" s="111"/>
      <c r="E22" s="111"/>
      <c r="F22" s="171"/>
      <c r="G22" s="171">
        <f>E21+F21</f>
        <v>26656643.244479999</v>
      </c>
      <c r="H22" s="171"/>
      <c r="I22" s="100"/>
      <c r="J22" s="172">
        <v>26975185</v>
      </c>
      <c r="K22" s="165"/>
      <c r="L22" s="20"/>
    </row>
    <row r="23" spans="1:12" x14ac:dyDescent="0.2">
      <c r="J23" s="109"/>
      <c r="K23" s="27"/>
    </row>
    <row r="24" spans="1:12" x14ac:dyDescent="0.2">
      <c r="C24" s="144"/>
      <c r="D24" s="144"/>
      <c r="E24" s="144"/>
      <c r="F24" s="144"/>
      <c r="G24" s="144"/>
      <c r="H24" s="144"/>
      <c r="I24" s="144"/>
      <c r="J24" s="145"/>
    </row>
    <row r="25" spans="1:12" x14ac:dyDescent="0.2">
      <c r="C25" s="145"/>
      <c r="D25" s="144"/>
      <c r="E25" s="144"/>
      <c r="F25" s="145"/>
      <c r="G25" s="145"/>
      <c r="H25" s="144"/>
      <c r="I25" s="144"/>
      <c r="J25" s="145"/>
    </row>
    <row r="26" spans="1:12" x14ac:dyDescent="0.2">
      <c r="J26" s="109"/>
    </row>
  </sheetData>
  <mergeCells count="2">
    <mergeCell ref="C3:D3"/>
    <mergeCell ref="E3:G3"/>
  </mergeCells>
  <pageMargins left="0.11811023622047245" right="0" top="0.74803149606299213" bottom="0.74803149606299213" header="0.31496062992125984" footer="0.31496062992125984"/>
  <pageSetup paperSize="9" orientation="landscape" verticalDpi="0" r:id="rId1"/>
  <ignoredErrors>
    <ignoredError sqref="K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Общая</vt:lpstr>
      <vt:lpstr>расчет</vt:lpstr>
      <vt:lpstr>Взносы</vt:lpstr>
      <vt:lpstr>з.п.</vt:lpstr>
      <vt:lpstr>2024-2025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2022-08-14T04:20:32Z</cp:lastPrinted>
  <dcterms:created xsi:type="dcterms:W3CDTF">2007-05-07T02:59:48Z</dcterms:created>
  <dcterms:modified xsi:type="dcterms:W3CDTF">2022-09-27T00:59:23Z</dcterms:modified>
</cp:coreProperties>
</file>