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0"/>
  </bookViews>
  <sheets>
    <sheet name="прил 6" sheetId="1" r:id="rId1"/>
  </sheets>
  <definedNames>
    <definedName name="_xlnm.Print_Area" localSheetId="0">'прил 6'!$A$4:$G$473</definedName>
    <definedName name="_xlnm.Print_Titles" localSheetId="0">'прил 6'!$A:$B,'прил 6'!$5:$7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#REF!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_xlnm.Print_Area" localSheetId="0">'прил 6'!$A$1:$I$473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<sst xmlns="http://schemas.openxmlformats.org/spreadsheetml/2006/main" count="1753" uniqueCount="402">
  <si>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</si>
  <si>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</si>
  <si>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</si>
  <si>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</si>
  <si>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</si>
  <si>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</si>
  <si>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</si>
  <si>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</si>
  <si>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</si>
  <si>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</si>
  <si>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</si>
  <si>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</si>
  <si>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99 0 00 00000</t>
  </si>
  <si>
    <t>Глава муниципального образования</t>
  </si>
  <si>
    <t>99 0 00 10050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</si>
  <si>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</si>
  <si>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</si>
  <si>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</si>
  <si>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</si>
  <si>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</si>
  <si>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</si>
  <si>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</si>
  <si>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</si>
  <si>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</si>
  <si>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</si>
  <si>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</si>
  <si>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</si>
  <si>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</si>
  <si>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</si>
  <si>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</si>
  <si>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</si>
  <si>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</si>
  <si>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</si>
  <si>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</si>
  <si>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</si>
  <si>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</si>
  <si>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</si>
  <si>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</si>
  <si>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</si>
  <si>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</si>
  <si>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</si>
  <si>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</si>
  <si>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</si>
  <si>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</si>
  <si>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</si>
  <si>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</si>
  <si>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</si>
  <si>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</si>
  <si>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</si>
  <si>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</si>
  <si>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</si>
  <si>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</si>
  <si>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</si>
  <si>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</si>
  <si>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</si>
  <si>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</si>
  <si>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</si>
  <si>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</si>
  <si>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</si>
  <si>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</si>
  <si>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</si>
  <si>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</si>
  <si>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</si>
  <si>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</si>
  <si>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</si>
  <si>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</si>
  <si>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</si>
  <si>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</si>
  <si>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</si>
  <si>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</si>
  <si>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</si>
  <si>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</si>
  <si>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</si>
  <si>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</si>
  <si>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</si>
  <si>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Коммунальное хозяйство</t>
  </si>
  <si>
    <t>0502</t>
  </si>
  <si>
    <t>Непрограммные расходы.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</si>
  <si>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обеспечению населения услугами бытового обслуживания</t>
  </si>
  <si>
    <t>99 0 00 10150</t>
  </si>
  <si>
    <t>10 0 00 00000</t>
  </si>
  <si>
    <t>10 1 00 00000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</si>
  <si>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</si>
  <si>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</si>
  <si>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</si>
  <si>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</si>
  <si>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</si>
  <si>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</si>
  <si>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</si>
  <si>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</si>
  <si>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</si>
  <si>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</si>
  <si>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</si>
  <si>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</si>
  <si>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</si>
  <si>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</si>
  <si>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</si>
  <si>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</si>
  <si>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</si>
  <si>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Обеспечение мер социальной поддержки по ремонту квартир ветеранам Великой Отечественной войны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</si>
  <si>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</si>
  <si>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</si>
  <si>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</si>
  <si>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</si>
  <si>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</si>
  <si>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</si>
  <si>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</si>
  <si>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</si>
  <si>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</si>
  <si>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</si>
  <si>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</si>
  <si>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</si>
  <si>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</si>
  <si>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</si>
  <si>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</si>
  <si>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</si>
  <si>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</si>
  <si>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</si>
  <si>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Непрограммные расходы. Расходы на содержание муниципального жилищного фонда</t>
  </si>
  <si>
    <t>99 0 00 10190</t>
  </si>
  <si>
    <t>14 0 00 00000</t>
  </si>
  <si>
    <t>Капитальные вложения в объекты государственной (муниципальной) собственности</t>
  </si>
  <si>
    <t>400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</si>
  <si>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</si>
  <si>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</si>
  <si>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</si>
  <si>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</si>
  <si>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</si>
  <si>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</si>
  <si>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</si>
  <si>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</si>
  <si>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</si>
  <si>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</si>
  <si>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</si>
  <si>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</si>
  <si>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</si>
  <si>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</si>
  <si>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</si>
  <si>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</si>
  <si>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</si>
  <si>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</si>
  <si>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</si>
  <si>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</si>
  <si>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</si>
  <si>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</si>
  <si>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</si>
  <si>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</si>
  <si>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</si>
  <si>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</si>
  <si>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</si>
  <si>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</si>
  <si>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</si>
  <si>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</si>
  <si>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</si>
  <si>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</si>
  <si>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</si>
  <si>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</si>
  <si>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</si>
  <si>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</si>
  <si>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</si>
  <si>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</si>
  <si>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</si>
  <si>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</si>
  <si>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</si>
  <si>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</si>
  <si>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</si>
  <si>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</si>
  <si>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>Вид расходов</t>
  </si>
  <si>
    <t>06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</si>
  <si>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</si>
  <si>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</si>
  <si>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</si>
  <si>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</t>
  </si>
  <si>
    <t>14 А F3 6748S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</si>
  <si>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</si>
  <si>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</si>
  <si>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</si>
  <si>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</si>
  <si>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>14 1 F1 4006Б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</si>
  <si>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</si>
  <si>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</si>
  <si>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</si>
  <si>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</si>
  <si>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</si>
  <si>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</si>
  <si>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</si>
  <si>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</si>
  <si>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</si>
  <si>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</si>
  <si>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</si>
  <si>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</si>
  <si>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</si>
  <si>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</si>
  <si>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</si>
  <si>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</si>
  <si>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</si>
  <si>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</si>
  <si>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</si>
  <si>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</si>
  <si>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</si>
  <si>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</si>
  <si>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</si>
  <si>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</si>
  <si>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</si>
  <si>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</si>
  <si>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</si>
  <si>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</si>
  <si>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0412</t>
  </si>
  <si>
    <t>Другие вопросы в области национальной экономики</t>
  </si>
  <si>
    <t>13 0 00 00000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</si>
  <si>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</si>
  <si>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</si>
  <si>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</si>
  <si>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</si>
  <si>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</si>
  <si>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</si>
  <si>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 xml:space="preserve">Региональный проект "Формирование комфортной городской среды". Решение вопросов местного значения городского поселения в рамках соответствующей государственной программы Камчатского края  </t>
  </si>
  <si>
    <t xml:space="preserve"> - муниципальная программа "Обращение с отходами производства и потребления  в  Елизовском городском поселении". ПП "Ликвидация мест стихийного несанкционированного размещения отходов производства и потребления на территории Елизовского городского поселения". ОМ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</si>
  <si>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</si>
  <si>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</si>
  <si>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>Подпрограмма "Развитие дорожного хозяйства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</si>
  <si>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</si>
  <si>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"Создание и развитие туристской инфраструктуры в Елизовском городском поселении"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</si>
  <si>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</si>
  <si>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</si>
  <si>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</si>
  <si>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</si>
  <si>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</si>
  <si>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муниципальная программа "Обращение с отходами производства и потребления  в  Елизовском городском поселении". ПП "Ликвидация мест стихийного несанкционированного размещения отходов производства и потребления на территории Елизовского городского поселения". ОМ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</si>
  <si>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 xml:space="preserve"> - расходы за счет средств федерального бюджета</t>
  </si>
  <si>
    <t>-Расходы за счет средств Фонда содействия реформированию ЖКХ</t>
  </si>
  <si>
    <t>14 А F3 67483</t>
  </si>
  <si>
    <t>-Расходы за счет средств краевого бюджета</t>
  </si>
  <si>
    <t>14 А F3 67484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</si>
  <si>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</si>
  <si>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</si>
  <si>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</si>
  <si>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</si>
  <si>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>Ведомственная структура расходов  бюджета Елизовского городского поселения на 2021 год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</si>
  <si>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</si>
  <si>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</si>
  <si>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</si>
  <si>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</si>
  <si>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</si>
  <si>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</si>
  <si>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05 0 01 09990</t>
  </si>
  <si>
    <t>05 0 00 00000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</si>
  <si>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</si>
  <si>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</si>
  <si>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- муниципальная программа "Формирование современной городской среды в  Елизовском городском поселении".ПП "Современнная городская среда в Елизовском городском поселении". ОМ " Региональный проект "Формирование комфортной городской среды"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</si>
  <si>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</si>
  <si>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</si>
  <si>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 xml:space="preserve">99 0 00 70040 </t>
  </si>
  <si>
    <t>09 1 01 4006К</t>
  </si>
  <si>
    <t>07 0 02 09990</t>
  </si>
  <si>
    <t>Основное мероприятие "Развитие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коды.</t>
  </si>
  <si>
    <t xml:space="preserve">99 0 00 80030 </t>
  </si>
  <si>
    <t xml:space="preserve">99 0 00 00000 </t>
  </si>
  <si>
    <t>Непрограммные расходы. Погашение кредиторской задолженности. 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</si>
  <si>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16 0 00 00000</t>
  </si>
  <si>
    <t xml:space="preserve">915 </t>
  </si>
  <si>
    <t>Муниципальная программа "Реализация государственной национальной политики и укрепление гражданского единства в Елизовском городском поселении"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</si>
  <si>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</si>
  <si>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</si>
  <si>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</si>
  <si>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</si>
  <si>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</si>
  <si>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 xml:space="preserve">99 0 00 80010 </t>
  </si>
  <si>
    <t>01 1 01 09990</t>
  </si>
  <si>
    <t>13 0 01 4006M</t>
  </si>
  <si>
    <t>0605</t>
  </si>
  <si>
    <t>11 0 00 00000</t>
  </si>
  <si>
    <t>11 2 00 00000</t>
  </si>
  <si>
    <t>11 2 01 4006Ф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</si>
  <si>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</si>
  <si>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</si>
  <si>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</si>
  <si>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</si>
  <si>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</si>
  <si>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</si>
  <si>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</si>
  <si>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Непрограммные расходы. Погашение кредиторской задолженности. Муниципальная программа "Формирование современной городской среды в Елизовском городском поселении"</t>
  </si>
  <si>
    <t>Непрограммные расходы. Расходы по исполнительному производству на содержание муниципального жилищного фонда</t>
  </si>
  <si>
    <t>99 0 00 10220</t>
  </si>
  <si>
    <t>Основное мероприятие "Приспособление общего имущества многоквартирного дома по адресу: г. Елизово, ул. Рябикова 51А к нуждам инвалида-колясочника, проживающего в квартире 50 данного дома".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</si>
  <si>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- Расходы на реализацию мероприятий, связанных с осуществлением наказов изберателей депутатам Собрания депутатов ЕГП</t>
  </si>
  <si>
    <t xml:space="preserve"> - расходы за счет средств местного бюджета, в т.ч.</t>
  </si>
  <si>
    <t xml:space="preserve">-ИМТ  на реализацию муниципальных программ Елизовского городского поселения, в том числе "Доступная среда для инвалидов в Елизовском городском поселении"    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</si>
  <si>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</si>
  <si>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</si>
  <si>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</si>
  <si>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</si>
  <si>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Непрограммные расходы. Субвенция на проведение Всероссийской переписи населения 2020 год</t>
  </si>
  <si>
    <t>99 0 00 54690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</si>
  <si>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</si>
  <si>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</si>
  <si>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- муниципальная программа "Формирование современной городской среды в  Елизовском городском поселении".ПП "Современнная городская среда в Елизовском городском поселении". ОМ " Региональный проект "Формирование комфортной городской среды", в т.ч.</t>
  </si>
  <si>
    <t>-ИМТ на софинансирование расходов по оплате коммунальных услуг муниципальных учреждений</t>
  </si>
  <si>
    <t>Подпрограмма "Обеспечение жильем молодых семей в Елизовском городском поселении"</t>
  </si>
  <si>
    <t>-Дотации бюджетам городских поселений на поддержку мер по обеспечению сбалансированности бюджетов</t>
  </si>
  <si>
    <t>-ИМТ на софинансирование выполнения расходных обязательств поселения</t>
  </si>
  <si>
    <t>-ИМТ на стимулирование достижений наилучших показателей деятельности</t>
  </si>
  <si>
    <t>-ИМТ на переданные полномочия</t>
  </si>
  <si>
    <t xml:space="preserve">-ИМТ на переданные полномочия по приватизации   </t>
  </si>
  <si>
    <t xml:space="preserve"> - муниципальная программа "Обращение с отходами производства и потребления  в  Елизовском городском поселении". ПП "Ликвидация мест стихийного несанкционированного размещения отходов производства и потребления на территории Елизовского городского поселения". ОМ "Выявление случаев причинения вреда окружающей среде при размещении бесхозяйственных отходов шин, покрышек"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</si>
  <si>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</si>
  <si>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</si>
  <si>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</si>
  <si>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Непрограммные расходы. Осуществление расходов за счет средств резервного фонда администрации Елизовского городского поселения</t>
  </si>
  <si>
    <t>99 0 00 10200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</si>
  <si>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</si>
  <si>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</si>
  <si>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14 1 F1 Т006Б</t>
  </si>
  <si>
    <t>01 1 F2 55550</t>
  </si>
  <si>
    <t>14 3 01 L4970</t>
  </si>
  <si>
    <t>09 1 01 Т006К</t>
  </si>
  <si>
    <t>16 0 01 L2990</t>
  </si>
  <si>
    <t>09 1 02 Т006К</t>
  </si>
  <si>
    <t>01 2 01 Т006Ц</t>
  </si>
  <si>
    <t>06 1 01 Т006Г</t>
  </si>
  <si>
    <t>10 1 03 Т006В</t>
  </si>
  <si>
    <t>13 0 01 Т006М</t>
  </si>
  <si>
    <t>10 1 01 Т006В</t>
  </si>
  <si>
    <t>11 2 01 Т006Ф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</si>
  <si>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</si>
  <si>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</si>
  <si>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</si>
  <si>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-ИМТ на реализацию мероприятий в рамках МП"Защита населения, территории от чрезвычайных ситуаций, обеспечение пожарной безопасности, развитие гражданской обороны на территории ЕГП"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</si>
  <si>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</si>
  <si>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Обеспечение проведения выборов и референдумов</t>
  </si>
  <si>
    <t>0107</t>
  </si>
  <si>
    <t>Непрограммные расходы. Обеспечение проведения выборов и референдумов</t>
  </si>
  <si>
    <t>99 0 00 10230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</si>
  <si>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</si>
  <si>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 Решение вопросов местного значения городского поселения в рамках соответствующей государственной программы Камчатского края </t>
  </si>
  <si>
    <t>- Расходы на реализацию мероприятий, связанных с осуществлением наказов изберателей депутатам Собрания депутатов ЕГП, в т.ч:</t>
  </si>
  <si>
    <t xml:space="preserve">-муниципальная программа "Физическая культура, спорт, молодежная политика, отдых  и оздоровление детей в Елизовском городском поселении". ПП  "Молодежь Елизовского городского поселения".ОМ "Вовлечение молодежи в социальную практику и ее информирование о потенциальных возможностях развития"     </t>
  </si>
  <si>
    <t xml:space="preserve">Основное мероприятие "Обустройство и восстановление воинских захоронений". Решение вопросов местного значения городского поселения в рамках соответствующей государственной программы Камчатского края  </t>
  </si>
  <si>
    <t>Основное мероприятие "Проведение мероприятий в рамках заключенных концессионных соглашений". Решение вопросов местного значения городского поселения в рамках соответствующей государственной программы Камчатского края</t>
  </si>
  <si>
    <t>10 1 05 4007В</t>
  </si>
  <si>
    <t xml:space="preserve"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</si>
  <si>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02 0 11 09990</t>
  </si>
  <si>
    <t xml:space="preserve">Основное мероприятие "Выполнение работ по изготовлению топографической съемки".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</si>
  <si>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01 1 03 09990</t>
  </si>
  <si>
    <t xml:space="preserve">Региональный проект "Формирование комфортной городской среды".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</si>
  <si>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Основное мероприятие "Ремонт автомобильных дорог общего пользования местного значения Елизовского городского поселения".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</si>
  <si>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 "Ремонт автомобильных дорог общего пользования местного значения Елизовского городского поселения".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</si>
  <si>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06 1 02 4006Г</t>
  </si>
  <si>
    <t>06 1 02 Т006Г</t>
  </si>
  <si>
    <t xml:space="preserve"> - муниципальная программа "Формирование современной городской среды в  Елизовском городском поселении". ПП "Благоустройство территории Елизовского городского поселения". ОМ "Предоставление межбюджетных трансфертов местным бюджетам на решение иных вопросов местного значения в сфере благоустройства территорий", в т.ч.</t>
  </si>
  <si>
    <t xml:space="preserve">-ИМТ на реализацию мероприятий по благоустройству социально-значимых объектов в городе Елизово      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</si>
  <si>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</si>
  <si>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- муниципальная программа "Развитие транспортной системы Елизовского городского поселения". ПП "Развитие дорожного хозяйства в Елизовском городском поселении". ОМ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</t>
  </si>
  <si>
    <t>10 1 05 Т007В</t>
  </si>
  <si>
    <t>Основное мероприятие "Проведение мероприятий в рамках заключенных концессионных соглашений".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</si>
  <si>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"Выполнение работ по капитальному ремонту объектов муниципального жилого фонда".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</t>
  </si>
  <si>
    <t>18 0 00 00000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</si>
  <si>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</si>
  <si>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 xml:space="preserve">Подпрограмма "Капитальный ремонт объектов муниципального жилищного фонда в Елизовском городском поселении" </t>
  </si>
  <si>
    <t>18 1 00 00000</t>
  </si>
  <si>
    <t>18 1 01 09990</t>
  </si>
  <si>
    <t>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</si>
  <si>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</si>
  <si>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</si>
  <si>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99 0 00 70030</t>
  </si>
  <si>
    <t>Непрограммые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</si>
  <si>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Региональный проект "Жилье". Решение вопросов местного значения городского поселения в рамках соответствующей государственной программы Камчатского края</t>
  </si>
  <si>
    <t>Региональный проект "Жилье".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</si>
  <si>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-ИМТ на ремонтные работы по восстановлению здания Бани г. Елизово</t>
  </si>
  <si>
    <t>-ИМТ на погашение задолженности перед ООО УК "Русский дом" за жилищно-коммунальные услуги, в т.ч. пени, в связи с безвозмездной передачей из собственности Камчатского края в муниципальную собственность Елизовского городского поселения жилые помещения (переселение граждан и социальный найм)</t>
  </si>
  <si>
    <t>Подпрограмма "Переселение граждан из аварийных жилых домов в непригодных для проживания жилых помещений в Елизовском городском поселении"</t>
  </si>
  <si>
    <t>14 4 00 00000</t>
  </si>
  <si>
    <t xml:space="preserve">Основное мероприятие "Переселение граждан из аварийных жилых домов и непригодных для проживания жилых помещений в соответствии с жилищным законодательством". Решение вопросов местного значения городского поселения в рамках соответствующей государственной программы Камчатского края </t>
  </si>
  <si>
    <t>14 4 01 4007Б</t>
  </si>
  <si>
    <t>Основное мероприятие "Переселение граждан из аварийных жилых домов и непригодных для проживания жилых помещений в соответствии с жилищным законодательством".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</si>
  <si>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14 4 01 Т007Б</t>
  </si>
  <si>
    <t xml:space="preserve">Основное мероприятие "Переселение граждан из непригодных для проживания жилых помещений".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</si>
  <si>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14 4 03 09990</t>
  </si>
  <si>
    <t>- Расходы на реализацию мероприятий, связанных с осуществлением наказов избирателей депутатам Собрания депутатов ЕГП</t>
  </si>
  <si>
    <t>% исполнения</t>
  </si>
  <si>
    <t>Приложение 2</t>
  </si>
  <si>
    <t>6929,56991</t>
  </si>
  <si>
    <t>4182,83444</t>
  </si>
  <si>
    <t>1391,51546</t>
  </si>
  <si>
    <t>4570,65046</t>
  </si>
  <si>
    <t>1808,02432</t>
  </si>
  <si>
    <t>45,45455</t>
  </si>
  <si>
    <t>4,54546</t>
  </si>
  <si>
    <t>1743,35476</t>
  </si>
  <si>
    <t>43,94025</t>
  </si>
  <si>
    <t>3874,38137</t>
  </si>
  <si>
    <t>0</t>
  </si>
  <si>
    <t>368,06483</t>
  </si>
  <si>
    <t>138,746</t>
  </si>
  <si>
    <t>1134,85465</t>
  </si>
  <si>
    <t>14234,28243</t>
  </si>
  <si>
    <t>6889,24902</t>
  </si>
  <si>
    <t>164,09475</t>
  </si>
  <si>
    <t>тыс.руб.</t>
  </si>
  <si>
    <t>Годовой объем ассигнований</t>
  </si>
  <si>
    <t>Исполнено</t>
  </si>
  <si>
    <t xml:space="preserve">к  муниципальному нормативному правовому акту
«Об исполнении бюджета Елизовского городского поселения за 2021 год», принятому Решением Собрания депутатов Елизовского городского поселения №160 от 30 июня 2022 года»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</si>
</sst>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0.00000"/>
  </numFmts>
  <fonts count="88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i/>
      <sz val="12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5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9"/>
      <name val="Times New Roman"/>
      <family val="1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5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7" borderId="0" applyNumberFormat="0" applyBorder="0" applyAlignment="0" applyProtection="0"/>
    <xf numFmtId="0" fontId="58" fillId="10" borderId="0" applyNumberFormat="0" applyBorder="0" applyAlignment="0" applyProtection="0"/>
    <xf numFmtId="0" fontId="58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3" borderId="0" applyNumberFormat="0" applyBorder="0" applyAlignment="0" applyProtection="0"/>
    <xf numFmtId="0" fontId="59" fillId="11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2" borderId="2" applyNumberFormat="0" applyAlignment="0" applyProtection="0"/>
    <xf numFmtId="0" fontId="62" fillId="2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0" borderId="7" applyNumberFormat="0" applyAlignment="0" applyProtection="0"/>
    <xf numFmtId="0" fontId="21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184" fontId="14" fillId="0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wrapText="1"/>
    </xf>
    <xf numFmtId="185" fontId="1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/>
    </xf>
    <xf numFmtId="18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184" fontId="15" fillId="0" borderId="10" xfId="0" applyNumberFormat="1" applyFont="1" applyFill="1" applyBorder="1" applyAlignment="1" applyProtection="1">
      <alignment horizontal="center"/>
      <protection locked="0"/>
    </xf>
    <xf numFmtId="49" fontId="1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0" fontId="28" fillId="0" borderId="0" xfId="0" applyFont="1" applyFill="1" applyAlignment="1">
      <alignment/>
    </xf>
    <xf numFmtId="184" fontId="14" fillId="0" borderId="10" xfId="0" applyNumberFormat="1" applyFont="1" applyFill="1" applyBorder="1" applyAlignment="1" applyProtection="1">
      <alignment horizontal="left"/>
      <protection locked="0"/>
    </xf>
    <xf numFmtId="184" fontId="14" fillId="0" borderId="10" xfId="0" applyNumberFormat="1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75" fillId="0" borderId="10" xfId="0" applyNumberFormat="1" applyFont="1" applyFill="1" applyBorder="1" applyAlignment="1">
      <alignment horizontal="center"/>
    </xf>
    <xf numFmtId="184" fontId="75" fillId="0" borderId="10" xfId="0" applyNumberFormat="1" applyFont="1" applyFill="1" applyBorder="1" applyAlignment="1">
      <alignment horizontal="center"/>
    </xf>
    <xf numFmtId="184" fontId="76" fillId="0" borderId="10" xfId="0" applyNumberFormat="1" applyFont="1" applyFill="1" applyBorder="1" applyAlignment="1">
      <alignment horizontal="center"/>
    </xf>
    <xf numFmtId="184" fontId="75" fillId="0" borderId="10" xfId="0" applyNumberFormat="1" applyFont="1" applyFill="1" applyBorder="1" applyAlignment="1" applyProtection="1">
      <alignment horizontal="center"/>
      <protection locked="0"/>
    </xf>
    <xf numFmtId="184" fontId="75" fillId="0" borderId="10" xfId="0" applyNumberFormat="1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center"/>
    </xf>
    <xf numFmtId="187" fontId="7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 wrapText="1"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 wrapText="1"/>
    </xf>
    <xf numFmtId="184" fontId="77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184" fontId="14" fillId="0" borderId="0" xfId="54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 wrapText="1"/>
    </xf>
    <xf numFmtId="184" fontId="20" fillId="0" borderId="10" xfId="0" applyNumberFormat="1" applyFont="1" applyFill="1" applyBorder="1" applyAlignment="1" applyProtection="1">
      <alignment horizontal="center"/>
      <protection locked="0"/>
    </xf>
    <xf numFmtId="184" fontId="77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quotePrefix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84" fontId="20" fillId="0" borderId="10" xfId="62" applyNumberFormat="1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49" fontId="79" fillId="0" borderId="0" xfId="0" applyNumberFormat="1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49" fontId="79" fillId="0" borderId="0" xfId="0" applyNumberFormat="1" applyFont="1" applyFill="1" applyBorder="1" applyAlignment="1">
      <alignment horizontal="center" wrapText="1"/>
    </xf>
    <xf numFmtId="184" fontId="80" fillId="0" borderId="0" xfId="0" applyNumberFormat="1" applyFont="1" applyFill="1" applyBorder="1" applyAlignment="1">
      <alignment horizontal="center"/>
    </xf>
    <xf numFmtId="184" fontId="77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84" fontId="83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 wrapText="1"/>
    </xf>
    <xf numFmtId="186" fontId="77" fillId="0" borderId="0" xfId="0" applyNumberFormat="1" applyFont="1" applyFill="1" applyBorder="1" applyAlignment="1">
      <alignment horizontal="center"/>
    </xf>
    <xf numFmtId="184" fontId="81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2" fontId="85" fillId="0" borderId="0" xfId="0" applyNumberFormat="1" applyFont="1" applyFill="1" applyAlignment="1">
      <alignment horizontal="center"/>
    </xf>
    <xf numFmtId="2" fontId="85" fillId="0" borderId="0" xfId="0" applyNumberFormat="1" applyFont="1" applyFill="1" applyBorder="1" applyAlignment="1">
      <alignment horizontal="center"/>
    </xf>
    <xf numFmtId="2" fontId="86" fillId="0" borderId="0" xfId="0" applyNumberFormat="1" applyFont="1" applyFill="1" applyBorder="1" applyAlignment="1">
      <alignment horizontal="center"/>
    </xf>
    <xf numFmtId="2" fontId="7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left" vertical="center" wrapText="1"/>
    </xf>
    <xf numFmtId="2" fontId="77" fillId="0" borderId="1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right" wrapText="1"/>
    </xf>
    <xf numFmtId="0" fontId="18" fillId="0" borderId="0" xfId="0" applyNumberFormat="1" applyFont="1" applyFill="1" applyAlignment="1">
      <alignment horizontal="right" vertical="center" wrapText="1"/>
    </xf>
    <xf numFmtId="49" fontId="19" fillId="0" borderId="0" xfId="43" applyNumberFormat="1" applyFont="1" applyFill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184" fontId="87" fillId="0" borderId="0" xfId="0" applyNumberFormat="1" applyFont="1" applyFill="1" applyBorder="1" applyAlignment="1">
      <alignment horizontal="left"/>
    </xf>
    <xf numFmtId="184" fontId="20" fillId="0" borderId="10" xfId="0" applyNumberFormat="1" applyFont="1" applyFill="1" applyBorder="1" applyAlignment="1">
      <alignment horizontal="center" vertical="center" wrapText="1"/>
    </xf>
    <xf numFmtId="184" fontId="77" fillId="0" borderId="10" xfId="0" applyNumberFormat="1" applyFont="1" applyFill="1" applyBorder="1" applyAlignment="1">
      <alignment horizontal="center" vertical="center"/>
    </xf>
    <xf numFmtId="2" fontId="7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 к Закону с поправк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4133850</xdr:colOff>
      <xdr:row>3</xdr:row>
      <xdr:rowOff>0</xdr:rowOff>
    </xdr:from>
    <xdr:to>
      <xdr:col>7</xdr:col>
      <xdr:colOff>0</xdr:colOff>
      <xdr:row>3</xdr:row>
      <xdr:rowOff>104775</xdr:rowOff>
    </xdr:to>
    <xdr:sp fLocksText="0">
      <xdr:nvSpPr>
        <xdr:cNvPr id="1" name="TextBox 4"/>
        <xdr:cNvSpPr txBox="1">
          <a:spLocks noChangeArrowheads="1"/>
        </xdr:cNvSpPr>
      </xdr:nvSpPr>
      <xdr:spPr>
        <a:xfrm>
          <a:off x="4591050" y="1524000"/>
          <a:ext cx="47148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5"/>
  <sheetViews>
    <sheetView tabSelected="1" zoomScale="110" zoomScaleNormal="110" zoomScaleSheetLayoutView="80" workbookViewId="0" topLeftCell="A1">
      <selection activeCell="H2" sqref="H2:I3"/>
    </sheetView>
  </sheetViews>
  <sheetFormatPr defaultColWidth="9.25390625" defaultRowHeight="12.75"/>
  <cols>
    <col min="1" max="1" width="6.00390625" style="55" customWidth="1"/>
    <col min="2" max="2" width="54.25390625" style="46" customWidth="1"/>
    <col min="3" max="3" width="6.75390625" style="57" customWidth="1"/>
    <col min="4" max="4" width="9.00390625" style="57" customWidth="1"/>
    <col min="5" max="5" width="16.75390625" style="58" customWidth="1"/>
    <col min="6" max="6" width="10.75390625" style="57" customWidth="1"/>
    <col min="7" max="7" width="18.625" style="93" customWidth="1"/>
    <col min="8" max="8" width="21.75390625" style="59" customWidth="1"/>
    <col min="9" max="9" width="14.25390625" style="95" customWidth="1"/>
    <col min="10" max="10" width="14.625" style="4" customWidth="1"/>
    <col min="11" max="16384" width="9.25390625" style="4" customWidth="1"/>
  </cols>
  <sheetData>
    <row r="1" spans="3:9" ht="16.5" customHeight="1">
      <c r="C1" s="56"/>
      <c r="D1" s="56"/>
      <c r="E1" s="56"/>
      <c r="F1" s="56"/>
      <c r="G1" s="56"/>
      <c r="H1" s="107" t="s">
        <v>380</v>
      </c>
      <c r="I1" s="107"/>
    </row>
    <row r="2" spans="3:9" ht="15" customHeight="1">
      <c r="C2" s="56"/>
      <c r="D2" s="56"/>
      <c r="E2" s="56"/>
      <c r="F2" s="56"/>
      <c r="G2" s="56"/>
      <c r="H2" s="108" t="s">
        <v>401</v>
      </c>
      <c r="I2" s="108"/>
    </row>
    <row r="3" spans="6:9" ht="88.5" customHeight="1">
      <c r="F3" s="56"/>
      <c r="G3" s="56"/>
      <c r="H3" s="108"/>
      <c r="I3" s="108"/>
    </row>
    <row r="4" spans="1:7" ht="40.5" customHeight="1">
      <c r="A4" s="109" t="s">
        <v>238</v>
      </c>
      <c r="B4" s="109"/>
      <c r="C4" s="109"/>
      <c r="D4" s="109"/>
      <c r="E4" s="109"/>
      <c r="F4" s="109"/>
      <c r="G4" s="109"/>
    </row>
    <row r="5" spans="1:9" ht="15.75">
      <c r="A5" s="60"/>
      <c r="B5" s="61"/>
      <c r="C5" s="62"/>
      <c r="D5" s="62"/>
      <c r="E5" s="63"/>
      <c r="F5" s="62"/>
      <c r="G5" s="64"/>
      <c r="I5" s="95" t="s">
        <v>398</v>
      </c>
    </row>
    <row r="6" spans="1:9" s="65" customFormat="1" ht="15.75" customHeight="1">
      <c r="A6" s="110" t="s">
        <v>0</v>
      </c>
      <c r="B6" s="110" t="s">
        <v>1</v>
      </c>
      <c r="C6" s="110" t="s">
        <v>235</v>
      </c>
      <c r="D6" s="110"/>
      <c r="E6" s="110"/>
      <c r="F6" s="110"/>
      <c r="G6" s="113" t="s">
        <v>399</v>
      </c>
      <c r="H6" s="114" t="s">
        <v>400</v>
      </c>
      <c r="I6" s="115" t="s">
        <v>379</v>
      </c>
    </row>
    <row r="7" spans="1:9" s="65" customFormat="1" ht="47.25">
      <c r="A7" s="110"/>
      <c r="B7" s="110"/>
      <c r="C7" s="66" t="s">
        <v>2</v>
      </c>
      <c r="D7" s="66" t="s">
        <v>3</v>
      </c>
      <c r="E7" s="66" t="s">
        <v>4</v>
      </c>
      <c r="F7" s="66" t="s">
        <v>167</v>
      </c>
      <c r="G7" s="113"/>
      <c r="H7" s="114"/>
      <c r="I7" s="115"/>
    </row>
    <row r="8" spans="1:9" s="1" customFormat="1" ht="31.5">
      <c r="A8" s="44">
        <v>1</v>
      </c>
      <c r="B8" s="67" t="s">
        <v>5</v>
      </c>
      <c r="C8" s="68" t="s">
        <v>6</v>
      </c>
      <c r="D8" s="68"/>
      <c r="E8" s="68"/>
      <c r="F8" s="68"/>
      <c r="G8" s="69">
        <f>G9</f>
        <v>28742.580500000004</v>
      </c>
      <c r="H8" s="70">
        <f>H9</f>
        <v>28737.68875</v>
      </c>
      <c r="I8" s="98">
        <f aca="true" t="shared" si="0" ref="I8:I13">H8/G8*100</f>
        <v>99.98298082526027</v>
      </c>
    </row>
    <row r="9" spans="1:9" s="2" customFormat="1" ht="15.75">
      <c r="A9" s="15"/>
      <c r="B9" s="16" t="s">
        <v>7</v>
      </c>
      <c r="C9" s="17" t="s">
        <v>6</v>
      </c>
      <c r="D9" s="17" t="s">
        <v>8</v>
      </c>
      <c r="E9" s="18"/>
      <c r="F9" s="17"/>
      <c r="G9" s="19">
        <f>G10+G14</f>
        <v>28742.580500000004</v>
      </c>
      <c r="H9" s="50">
        <f>H10+H14</f>
        <v>28737.68875</v>
      </c>
      <c r="I9" s="98">
        <f t="shared" si="0"/>
        <v>99.98298082526027</v>
      </c>
    </row>
    <row r="10" spans="1:9" s="2" customFormat="1" ht="47.25">
      <c r="A10" s="15"/>
      <c r="B10" s="16" t="s">
        <v>9</v>
      </c>
      <c r="C10" s="17" t="s">
        <v>6</v>
      </c>
      <c r="D10" s="17" t="s">
        <v>10</v>
      </c>
      <c r="E10" s="18"/>
      <c r="F10" s="17"/>
      <c r="G10" s="19">
        <f aca="true" t="shared" si="1" ref="G10:H12">G11</f>
        <v>5089.66059</v>
      </c>
      <c r="H10" s="50">
        <f t="shared" si="1"/>
        <v>5089.66059</v>
      </c>
      <c r="I10" s="98">
        <f t="shared" si="0"/>
        <v>100</v>
      </c>
    </row>
    <row r="11" spans="1:9" s="2" customFormat="1" ht="15.75">
      <c r="A11" s="15"/>
      <c r="B11" s="16" t="s">
        <v>11</v>
      </c>
      <c r="C11" s="17" t="s">
        <v>6</v>
      </c>
      <c r="D11" s="17" t="s">
        <v>10</v>
      </c>
      <c r="E11" s="18" t="s">
        <v>12</v>
      </c>
      <c r="F11" s="17"/>
      <c r="G11" s="19">
        <f t="shared" si="1"/>
        <v>5089.66059</v>
      </c>
      <c r="H11" s="50">
        <f t="shared" si="1"/>
        <v>5089.66059</v>
      </c>
      <c r="I11" s="98">
        <f t="shared" si="0"/>
        <v>100</v>
      </c>
    </row>
    <row r="12" spans="1:9" s="2" customFormat="1" ht="15.75">
      <c r="A12" s="15"/>
      <c r="B12" s="16" t="s">
        <v>13</v>
      </c>
      <c r="C12" s="17" t="s">
        <v>6</v>
      </c>
      <c r="D12" s="17" t="s">
        <v>10</v>
      </c>
      <c r="E12" s="18" t="s">
        <v>14</v>
      </c>
      <c r="F12" s="17"/>
      <c r="G12" s="19">
        <f t="shared" si="1"/>
        <v>5089.66059</v>
      </c>
      <c r="H12" s="50">
        <f t="shared" si="1"/>
        <v>5089.66059</v>
      </c>
      <c r="I12" s="98">
        <f t="shared" si="0"/>
        <v>100</v>
      </c>
    </row>
    <row r="13" spans="1:9" s="2" customFormat="1" ht="78.75">
      <c r="A13" s="15"/>
      <c r="B13" s="16" t="s">
        <v>15</v>
      </c>
      <c r="C13" s="17" t="s">
        <v>6</v>
      </c>
      <c r="D13" s="17" t="s">
        <v>10</v>
      </c>
      <c r="E13" s="18" t="s">
        <v>14</v>
      </c>
      <c r="F13" s="17" t="s">
        <v>16</v>
      </c>
      <c r="G13" s="19">
        <v>5089.66059</v>
      </c>
      <c r="H13" s="48">
        <v>5089.66059</v>
      </c>
      <c r="I13" s="98">
        <f t="shared" si="0"/>
        <v>100</v>
      </c>
    </row>
    <row r="14" spans="1:9" s="2" customFormat="1" ht="63">
      <c r="A14" s="15"/>
      <c r="B14" s="20" t="s">
        <v>17</v>
      </c>
      <c r="C14" s="17" t="s">
        <v>6</v>
      </c>
      <c r="D14" s="17" t="s">
        <v>18</v>
      </c>
      <c r="E14" s="18" t="s">
        <v>19</v>
      </c>
      <c r="F14" s="17" t="s">
        <v>19</v>
      </c>
      <c r="G14" s="19">
        <f>G15</f>
        <v>23652.919910000004</v>
      </c>
      <c r="H14" s="50">
        <f>H15</f>
        <v>23648.02816</v>
      </c>
      <c r="I14" s="98">
        <f aca="true" t="shared" si="2" ref="I14:I77">H14/G14*100</f>
        <v>99.97931862104714</v>
      </c>
    </row>
    <row r="15" spans="1:9" s="2" customFormat="1" ht="15.75">
      <c r="A15" s="15"/>
      <c r="B15" s="16" t="s">
        <v>11</v>
      </c>
      <c r="C15" s="17" t="s">
        <v>6</v>
      </c>
      <c r="D15" s="17" t="s">
        <v>18</v>
      </c>
      <c r="E15" s="18" t="s">
        <v>12</v>
      </c>
      <c r="F15" s="17"/>
      <c r="G15" s="19">
        <f>G16+G20</f>
        <v>23652.919910000004</v>
      </c>
      <c r="H15" s="50">
        <f>H16+H20</f>
        <v>23648.02816</v>
      </c>
      <c r="I15" s="98">
        <f t="shared" si="2"/>
        <v>99.97931862104714</v>
      </c>
    </row>
    <row r="16" spans="1:9" s="2" customFormat="1" ht="78.75">
      <c r="A16" s="15"/>
      <c r="B16" s="20" t="s">
        <v>20</v>
      </c>
      <c r="C16" s="17" t="s">
        <v>6</v>
      </c>
      <c r="D16" s="17" t="s">
        <v>18</v>
      </c>
      <c r="E16" s="18" t="s">
        <v>21</v>
      </c>
      <c r="F16" s="17"/>
      <c r="G16" s="19">
        <f>G17+G18+G19</f>
        <v>19193.280020000002</v>
      </c>
      <c r="H16" s="50">
        <f>H17+H18+H19</f>
        <v>19193.280020000002</v>
      </c>
      <c r="I16" s="98">
        <f t="shared" si="2"/>
        <v>100</v>
      </c>
    </row>
    <row r="17" spans="1:9" s="2" customFormat="1" ht="78.75">
      <c r="A17" s="15"/>
      <c r="B17" s="16" t="s">
        <v>15</v>
      </c>
      <c r="C17" s="17" t="s">
        <v>6</v>
      </c>
      <c r="D17" s="17" t="s">
        <v>18</v>
      </c>
      <c r="E17" s="18" t="s">
        <v>21</v>
      </c>
      <c r="F17" s="17" t="s">
        <v>16</v>
      </c>
      <c r="G17" s="19">
        <f>10575.006+383.24+3157.631+741.174+133.47199+36.11256+703.33464+350+155.11085+107.94669</f>
        <v>16343.02773</v>
      </c>
      <c r="H17" s="48">
        <v>16343.02773</v>
      </c>
      <c r="I17" s="98">
        <f t="shared" si="2"/>
        <v>100</v>
      </c>
    </row>
    <row r="18" spans="1:9" s="2" customFormat="1" ht="31.5">
      <c r="A18" s="15"/>
      <c r="B18" s="16" t="s">
        <v>22</v>
      </c>
      <c r="C18" s="17" t="s">
        <v>6</v>
      </c>
      <c r="D18" s="17" t="s">
        <v>18</v>
      </c>
      <c r="E18" s="18" t="s">
        <v>21</v>
      </c>
      <c r="F18" s="17" t="s">
        <v>23</v>
      </c>
      <c r="G18" s="19">
        <f>3940.88-115.297-1051.24317+330-257.54874</f>
        <v>2846.7910899999997</v>
      </c>
      <c r="H18" s="48">
        <v>2846.79109</v>
      </c>
      <c r="I18" s="98">
        <f t="shared" si="2"/>
        <v>100.00000000000003</v>
      </c>
    </row>
    <row r="19" spans="1:9" s="2" customFormat="1" ht="15.75">
      <c r="A19" s="15"/>
      <c r="B19" s="16" t="s">
        <v>24</v>
      </c>
      <c r="C19" s="17" t="s">
        <v>6</v>
      </c>
      <c r="D19" s="17" t="s">
        <v>18</v>
      </c>
      <c r="E19" s="18" t="s">
        <v>21</v>
      </c>
      <c r="F19" s="17" t="s">
        <v>25</v>
      </c>
      <c r="G19" s="19">
        <f>2.97+20-14-5.5088</f>
        <v>3.461199999999999</v>
      </c>
      <c r="H19" s="48">
        <v>3.4612</v>
      </c>
      <c r="I19" s="98">
        <f t="shared" si="2"/>
        <v>100.00000000000003</v>
      </c>
    </row>
    <row r="20" spans="1:9" s="2" customFormat="1" ht="47.25">
      <c r="A20" s="15"/>
      <c r="B20" s="16" t="s">
        <v>26</v>
      </c>
      <c r="C20" s="17" t="s">
        <v>6</v>
      </c>
      <c r="D20" s="17" t="s">
        <v>18</v>
      </c>
      <c r="E20" s="18" t="s">
        <v>27</v>
      </c>
      <c r="F20" s="17"/>
      <c r="G20" s="19">
        <f>G21</f>
        <v>4459.63989</v>
      </c>
      <c r="H20" s="19">
        <f>H21</f>
        <v>4454.74814</v>
      </c>
      <c r="I20" s="98">
        <f t="shared" si="2"/>
        <v>99.89031065017222</v>
      </c>
    </row>
    <row r="21" spans="1:9" s="2" customFormat="1" ht="78.75">
      <c r="A21" s="15"/>
      <c r="B21" s="16" t="s">
        <v>15</v>
      </c>
      <c r="C21" s="17" t="s">
        <v>6</v>
      </c>
      <c r="D21" s="17" t="s">
        <v>18</v>
      </c>
      <c r="E21" s="18" t="s">
        <v>27</v>
      </c>
      <c r="F21" s="17" t="s">
        <v>16</v>
      </c>
      <c r="G21" s="19">
        <f>2260.427+78.52+508.93+771.902+28.90995+21.15189+528.735+97.37215+163.6919</f>
        <v>4459.63989</v>
      </c>
      <c r="H21" s="48">
        <v>4454.74814</v>
      </c>
      <c r="I21" s="98">
        <f t="shared" si="2"/>
        <v>99.89031065017222</v>
      </c>
    </row>
    <row r="22" spans="1:9" s="3" customFormat="1" ht="31.5">
      <c r="A22" s="44">
        <v>2</v>
      </c>
      <c r="B22" s="71" t="s">
        <v>28</v>
      </c>
      <c r="C22" s="68" t="s">
        <v>29</v>
      </c>
      <c r="D22" s="68"/>
      <c r="E22" s="68"/>
      <c r="F22" s="68"/>
      <c r="G22" s="69">
        <f aca="true" t="shared" si="3" ref="G22:H24">G23</f>
        <v>23110.244400000003</v>
      </c>
      <c r="H22" s="69">
        <f t="shared" si="3"/>
        <v>22746.26826</v>
      </c>
      <c r="I22" s="98">
        <f t="shared" si="2"/>
        <v>98.42504417651247</v>
      </c>
    </row>
    <row r="23" spans="1:9" ht="19.5" customHeight="1">
      <c r="A23" s="21"/>
      <c r="B23" s="16" t="s">
        <v>7</v>
      </c>
      <c r="C23" s="17" t="s">
        <v>29</v>
      </c>
      <c r="D23" s="17" t="s">
        <v>8</v>
      </c>
      <c r="E23" s="18"/>
      <c r="F23" s="17"/>
      <c r="G23" s="19">
        <f t="shared" si="3"/>
        <v>23110.244400000003</v>
      </c>
      <c r="H23" s="19">
        <f t="shared" si="3"/>
        <v>22746.26826</v>
      </c>
      <c r="I23" s="98">
        <f t="shared" si="2"/>
        <v>98.42504417651247</v>
      </c>
    </row>
    <row r="24" spans="1:9" ht="47.25">
      <c r="A24" s="21"/>
      <c r="B24" s="20" t="s">
        <v>30</v>
      </c>
      <c r="C24" s="17" t="s">
        <v>29</v>
      </c>
      <c r="D24" s="17" t="s">
        <v>31</v>
      </c>
      <c r="E24" s="18" t="s">
        <v>19</v>
      </c>
      <c r="F24" s="17" t="s">
        <v>19</v>
      </c>
      <c r="G24" s="19">
        <f t="shared" si="3"/>
        <v>23110.244400000003</v>
      </c>
      <c r="H24" s="19">
        <f t="shared" si="3"/>
        <v>22746.26826</v>
      </c>
      <c r="I24" s="98">
        <f t="shared" si="2"/>
        <v>98.42504417651247</v>
      </c>
    </row>
    <row r="25" spans="1:9" ht="15.75">
      <c r="A25" s="21"/>
      <c r="B25" s="16" t="s">
        <v>11</v>
      </c>
      <c r="C25" s="17" t="s">
        <v>29</v>
      </c>
      <c r="D25" s="17" t="s">
        <v>31</v>
      </c>
      <c r="E25" s="18" t="s">
        <v>12</v>
      </c>
      <c r="F25" s="17"/>
      <c r="G25" s="19">
        <f>G26+G30</f>
        <v>23110.244400000003</v>
      </c>
      <c r="H25" s="19">
        <f>H26+H30</f>
        <v>22746.26826</v>
      </c>
      <c r="I25" s="98">
        <f t="shared" si="2"/>
        <v>98.42504417651247</v>
      </c>
    </row>
    <row r="26" spans="1:9" ht="78.75">
      <c r="A26" s="21"/>
      <c r="B26" s="16" t="s">
        <v>20</v>
      </c>
      <c r="C26" s="17" t="s">
        <v>29</v>
      </c>
      <c r="D26" s="17" t="s">
        <v>31</v>
      </c>
      <c r="E26" s="18" t="s">
        <v>21</v>
      </c>
      <c r="F26" s="17"/>
      <c r="G26" s="19">
        <f>G27+G28+G29</f>
        <v>15879.718780000001</v>
      </c>
      <c r="H26" s="19">
        <f>H27+H28+H29</f>
        <v>15554.921</v>
      </c>
      <c r="I26" s="98">
        <f t="shared" si="2"/>
        <v>97.95463770801109</v>
      </c>
    </row>
    <row r="27" spans="1:9" s="5" customFormat="1" ht="78.75">
      <c r="A27" s="21"/>
      <c r="B27" s="16" t="s">
        <v>15</v>
      </c>
      <c r="C27" s="17" t="s">
        <v>29</v>
      </c>
      <c r="D27" s="17" t="s">
        <v>31</v>
      </c>
      <c r="E27" s="18" t="s">
        <v>21</v>
      </c>
      <c r="F27" s="17" t="s">
        <v>16</v>
      </c>
      <c r="G27" s="19">
        <f>8674.81888+1060+2617.36445+70-11.72936+107.40249+32.43555-480+489.5-9.7126+98.5</f>
        <v>12648.57941</v>
      </c>
      <c r="H27" s="48">
        <v>12648.44788</v>
      </c>
      <c r="I27" s="98">
        <f t="shared" si="2"/>
        <v>99.99896012037608</v>
      </c>
    </row>
    <row r="28" spans="1:9" s="5" customFormat="1" ht="31.5">
      <c r="A28" s="21"/>
      <c r="B28" s="16" t="s">
        <v>22</v>
      </c>
      <c r="C28" s="17" t="s">
        <v>29</v>
      </c>
      <c r="D28" s="17" t="s">
        <v>31</v>
      </c>
      <c r="E28" s="18" t="s">
        <v>21</v>
      </c>
      <c r="F28" s="17" t="s">
        <v>23</v>
      </c>
      <c r="G28" s="19">
        <f>2822.23695+1289.21566-620-302.39324</f>
        <v>3189.0593700000004</v>
      </c>
      <c r="H28" s="48">
        <v>2866.94615</v>
      </c>
      <c r="I28" s="98">
        <f t="shared" si="2"/>
        <v>89.89942855783208</v>
      </c>
    </row>
    <row r="29" spans="1:9" ht="15.75">
      <c r="A29" s="21"/>
      <c r="B29" s="16" t="s">
        <v>24</v>
      </c>
      <c r="C29" s="17" t="s">
        <v>29</v>
      </c>
      <c r="D29" s="17" t="s">
        <v>31</v>
      </c>
      <c r="E29" s="18" t="s">
        <v>21</v>
      </c>
      <c r="F29" s="17" t="s">
        <v>25</v>
      </c>
      <c r="G29" s="19">
        <f>3.2032+55.12-2.2432-14</f>
        <v>42.08</v>
      </c>
      <c r="H29" s="48">
        <v>39.52697</v>
      </c>
      <c r="I29" s="98">
        <f t="shared" si="2"/>
        <v>93.93291349809886</v>
      </c>
    </row>
    <row r="30" spans="1:9" ht="47.25">
      <c r="A30" s="21"/>
      <c r="B30" s="20" t="s">
        <v>32</v>
      </c>
      <c r="C30" s="17" t="s">
        <v>29</v>
      </c>
      <c r="D30" s="17" t="s">
        <v>31</v>
      </c>
      <c r="E30" s="18" t="s">
        <v>33</v>
      </c>
      <c r="F30" s="17"/>
      <c r="G30" s="19">
        <f>G31+G32</f>
        <v>7230.525620000001</v>
      </c>
      <c r="H30" s="19">
        <f>H31+H32</f>
        <v>7191.3472600000005</v>
      </c>
      <c r="I30" s="98">
        <f t="shared" si="2"/>
        <v>99.45815336174688</v>
      </c>
    </row>
    <row r="31" spans="1:9" s="5" customFormat="1" ht="78.75">
      <c r="A31" s="21"/>
      <c r="B31" s="16" t="s">
        <v>15</v>
      </c>
      <c r="C31" s="17" t="s">
        <v>29</v>
      </c>
      <c r="D31" s="17" t="s">
        <v>31</v>
      </c>
      <c r="E31" s="18" t="s">
        <v>33</v>
      </c>
      <c r="F31" s="17" t="s">
        <v>16</v>
      </c>
      <c r="G31" s="19">
        <f>4573.44264+420.6+1276.05911+200-230.52732+58.52626+17.67493+837+291-138.9-3-80.7</f>
        <v>7221.175620000001</v>
      </c>
      <c r="H31" s="48">
        <v>7181.99726</v>
      </c>
      <c r="I31" s="98">
        <f t="shared" si="2"/>
        <v>99.45745177708334</v>
      </c>
    </row>
    <row r="32" spans="1:9" s="5" customFormat="1" ht="31.5">
      <c r="A32" s="21"/>
      <c r="B32" s="16" t="s">
        <v>22</v>
      </c>
      <c r="C32" s="17" t="s">
        <v>29</v>
      </c>
      <c r="D32" s="17" t="s">
        <v>31</v>
      </c>
      <c r="E32" s="18" t="s">
        <v>33</v>
      </c>
      <c r="F32" s="17" t="s">
        <v>23</v>
      </c>
      <c r="G32" s="19">
        <f>53.98864+22.65552-28-39.29416</f>
        <v>9.350000000000001</v>
      </c>
      <c r="H32" s="48">
        <v>9.35</v>
      </c>
      <c r="I32" s="98">
        <f t="shared" si="2"/>
        <v>99.99999999999997</v>
      </c>
    </row>
    <row r="33" spans="1:9" ht="31.5">
      <c r="A33" s="44">
        <v>3</v>
      </c>
      <c r="B33" s="67" t="s">
        <v>34</v>
      </c>
      <c r="C33" s="68" t="s">
        <v>35</v>
      </c>
      <c r="D33" s="68"/>
      <c r="E33" s="68"/>
      <c r="F33" s="68"/>
      <c r="G33" s="69">
        <f>G34+G55</f>
        <v>16040.44945</v>
      </c>
      <c r="H33" s="69">
        <f>H34+H55</f>
        <v>15668.750679999997</v>
      </c>
      <c r="I33" s="98">
        <f t="shared" si="2"/>
        <v>97.68274092843451</v>
      </c>
    </row>
    <row r="34" spans="1:9" s="2" customFormat="1" ht="15.75">
      <c r="A34" s="21"/>
      <c r="B34" s="16" t="s">
        <v>7</v>
      </c>
      <c r="C34" s="17" t="s">
        <v>35</v>
      </c>
      <c r="D34" s="17" t="s">
        <v>8</v>
      </c>
      <c r="E34" s="18"/>
      <c r="F34" s="17"/>
      <c r="G34" s="19">
        <f>G35+G45+G49</f>
        <v>15782.75792</v>
      </c>
      <c r="H34" s="19">
        <f>H35+H45+H49</f>
        <v>15411.059149999997</v>
      </c>
      <c r="I34" s="98">
        <f t="shared" si="2"/>
        <v>97.6449060938267</v>
      </c>
    </row>
    <row r="35" spans="1:9" s="2" customFormat="1" ht="63">
      <c r="A35" s="21"/>
      <c r="B35" s="16" t="s">
        <v>36</v>
      </c>
      <c r="C35" s="17" t="s">
        <v>35</v>
      </c>
      <c r="D35" s="17" t="s">
        <v>37</v>
      </c>
      <c r="E35" s="18" t="s">
        <v>19</v>
      </c>
      <c r="F35" s="17" t="s">
        <v>19</v>
      </c>
      <c r="G35" s="19">
        <f>G36</f>
        <v>11889.527849999999</v>
      </c>
      <c r="H35" s="19">
        <f>H36</f>
        <v>11701.113549999998</v>
      </c>
      <c r="I35" s="98">
        <f t="shared" si="2"/>
        <v>98.41529199159915</v>
      </c>
    </row>
    <row r="36" spans="1:9" s="2" customFormat="1" ht="15.75">
      <c r="A36" s="21"/>
      <c r="B36" s="16" t="s">
        <v>11</v>
      </c>
      <c r="C36" s="17" t="s">
        <v>35</v>
      </c>
      <c r="D36" s="17" t="s">
        <v>37</v>
      </c>
      <c r="E36" s="18" t="s">
        <v>12</v>
      </c>
      <c r="F36" s="17"/>
      <c r="G36" s="19">
        <f>G37+G42</f>
        <v>11889.527849999999</v>
      </c>
      <c r="H36" s="19">
        <f>H37+H42</f>
        <v>11701.113549999998</v>
      </c>
      <c r="I36" s="98">
        <f t="shared" si="2"/>
        <v>98.41529199159915</v>
      </c>
    </row>
    <row r="37" spans="1:9" s="2" customFormat="1" ht="78.75">
      <c r="A37" s="21"/>
      <c r="B37" s="16" t="s">
        <v>20</v>
      </c>
      <c r="C37" s="17" t="s">
        <v>35</v>
      </c>
      <c r="D37" s="17" t="s">
        <v>37</v>
      </c>
      <c r="E37" s="18" t="s">
        <v>21</v>
      </c>
      <c r="F37" s="17"/>
      <c r="G37" s="19">
        <f>G38+G40+G41</f>
        <v>7714.987709999999</v>
      </c>
      <c r="H37" s="19">
        <f>H38+H40+H41</f>
        <v>7588.7297499999995</v>
      </c>
      <c r="I37" s="98">
        <f t="shared" si="2"/>
        <v>98.36347166391015</v>
      </c>
    </row>
    <row r="38" spans="1:9" s="2" customFormat="1" ht="78.75">
      <c r="A38" s="21"/>
      <c r="B38" s="16" t="s">
        <v>15</v>
      </c>
      <c r="C38" s="17" t="s">
        <v>35</v>
      </c>
      <c r="D38" s="17" t="s">
        <v>37</v>
      </c>
      <c r="E38" s="18" t="s">
        <v>21</v>
      </c>
      <c r="F38" s="17" t="s">
        <v>16</v>
      </c>
      <c r="G38" s="19">
        <v>6534.24882</v>
      </c>
      <c r="H38" s="48">
        <v>6534.24882</v>
      </c>
      <c r="I38" s="98">
        <f t="shared" si="2"/>
        <v>100</v>
      </c>
    </row>
    <row r="39" spans="1:9" s="2" customFormat="1" ht="31.5">
      <c r="A39" s="21"/>
      <c r="B39" s="99" t="s">
        <v>300</v>
      </c>
      <c r="C39" s="17"/>
      <c r="D39" s="17"/>
      <c r="E39" s="18"/>
      <c r="F39" s="17"/>
      <c r="G39" s="38">
        <v>100</v>
      </c>
      <c r="H39" s="49">
        <v>100</v>
      </c>
      <c r="I39" s="98">
        <f t="shared" si="2"/>
        <v>100</v>
      </c>
    </row>
    <row r="40" spans="1:9" s="2" customFormat="1" ht="31.5">
      <c r="A40" s="21"/>
      <c r="B40" s="16" t="s">
        <v>22</v>
      </c>
      <c r="C40" s="17" t="s">
        <v>35</v>
      </c>
      <c r="D40" s="17" t="s">
        <v>37</v>
      </c>
      <c r="E40" s="18" t="s">
        <v>21</v>
      </c>
      <c r="F40" s="17" t="s">
        <v>23</v>
      </c>
      <c r="G40" s="19">
        <v>935.56239</v>
      </c>
      <c r="H40" s="48">
        <v>809.49197</v>
      </c>
      <c r="I40" s="98">
        <f t="shared" si="2"/>
        <v>86.52463787048985</v>
      </c>
    </row>
    <row r="41" spans="1:9" s="2" customFormat="1" ht="15.75">
      <c r="A41" s="21"/>
      <c r="B41" s="16" t="s">
        <v>24</v>
      </c>
      <c r="C41" s="17" t="s">
        <v>35</v>
      </c>
      <c r="D41" s="17" t="s">
        <v>37</v>
      </c>
      <c r="E41" s="18" t="s">
        <v>21</v>
      </c>
      <c r="F41" s="17" t="s">
        <v>25</v>
      </c>
      <c r="G41" s="19">
        <f>96.72+122.798-120+10.3605+37.098+100-1.8</f>
        <v>245.17649999999998</v>
      </c>
      <c r="H41" s="48">
        <v>244.98896</v>
      </c>
      <c r="I41" s="98">
        <f t="shared" si="2"/>
        <v>99.92350816656572</v>
      </c>
    </row>
    <row r="42" spans="1:9" s="2" customFormat="1" ht="31.5">
      <c r="A42" s="21"/>
      <c r="B42" s="16" t="s">
        <v>38</v>
      </c>
      <c r="C42" s="17" t="s">
        <v>35</v>
      </c>
      <c r="D42" s="17" t="s">
        <v>37</v>
      </c>
      <c r="E42" s="18" t="s">
        <v>39</v>
      </c>
      <c r="F42" s="17"/>
      <c r="G42" s="19">
        <f>G43+G44</f>
        <v>4174.54014</v>
      </c>
      <c r="H42" s="19">
        <f>H43+H44</f>
        <v>4112.3838</v>
      </c>
      <c r="I42" s="98">
        <f t="shared" si="2"/>
        <v>98.51106138842876</v>
      </c>
    </row>
    <row r="43" spans="1:9" s="2" customFormat="1" ht="78.75">
      <c r="A43" s="21"/>
      <c r="B43" s="16" t="s">
        <v>15</v>
      </c>
      <c r="C43" s="17" t="s">
        <v>35</v>
      </c>
      <c r="D43" s="17" t="s">
        <v>37</v>
      </c>
      <c r="E43" s="18" t="s">
        <v>39</v>
      </c>
      <c r="F43" s="17" t="s">
        <v>16</v>
      </c>
      <c r="G43" s="19">
        <f>2901.45128+261.067+619.90705-9.83+163.97393+37.072+11.196-11.579-72.8+350+54+60-160-36.53122-30.3074</f>
        <v>4137.61964</v>
      </c>
      <c r="H43" s="48">
        <v>4091.8338</v>
      </c>
      <c r="I43" s="98">
        <f t="shared" si="2"/>
        <v>98.89342559288508</v>
      </c>
    </row>
    <row r="44" spans="1:9" s="2" customFormat="1" ht="31.5">
      <c r="A44" s="21"/>
      <c r="B44" s="16" t="s">
        <v>22</v>
      </c>
      <c r="C44" s="17" t="s">
        <v>35</v>
      </c>
      <c r="D44" s="17" t="s">
        <v>37</v>
      </c>
      <c r="E44" s="18" t="s">
        <v>39</v>
      </c>
      <c r="F44" s="17" t="s">
        <v>23</v>
      </c>
      <c r="G44" s="19">
        <v>36.9205</v>
      </c>
      <c r="H44" s="48">
        <v>20.55</v>
      </c>
      <c r="I44" s="98">
        <f t="shared" si="2"/>
        <v>55.660134613561574</v>
      </c>
    </row>
    <row r="45" spans="1:9" s="2" customFormat="1" ht="15.75">
      <c r="A45" s="21"/>
      <c r="B45" s="22" t="s">
        <v>40</v>
      </c>
      <c r="C45" s="17" t="s">
        <v>35</v>
      </c>
      <c r="D45" s="17" t="s">
        <v>41</v>
      </c>
      <c r="E45" s="18"/>
      <c r="F45" s="17"/>
      <c r="G45" s="19">
        <f aca="true" t="shared" si="4" ref="G45:H47">G46</f>
        <v>170.11446999999998</v>
      </c>
      <c r="H45" s="19">
        <f t="shared" si="4"/>
        <v>0</v>
      </c>
      <c r="I45" s="98">
        <f t="shared" si="2"/>
        <v>0</v>
      </c>
    </row>
    <row r="46" spans="1:9" s="2" customFormat="1" ht="15.75">
      <c r="A46" s="21"/>
      <c r="B46" s="16" t="s">
        <v>11</v>
      </c>
      <c r="C46" s="17" t="s">
        <v>35</v>
      </c>
      <c r="D46" s="17" t="s">
        <v>41</v>
      </c>
      <c r="E46" s="18" t="s">
        <v>12</v>
      </c>
      <c r="F46" s="17"/>
      <c r="G46" s="19">
        <f t="shared" si="4"/>
        <v>170.11446999999998</v>
      </c>
      <c r="H46" s="19">
        <f t="shared" si="4"/>
        <v>0</v>
      </c>
      <c r="I46" s="98">
        <f t="shared" si="2"/>
        <v>0</v>
      </c>
    </row>
    <row r="47" spans="1:9" s="6" customFormat="1" ht="31.5">
      <c r="A47" s="21"/>
      <c r="B47" s="20" t="s">
        <v>42</v>
      </c>
      <c r="C47" s="17" t="s">
        <v>35</v>
      </c>
      <c r="D47" s="17" t="s">
        <v>41</v>
      </c>
      <c r="E47" s="18" t="s">
        <v>43</v>
      </c>
      <c r="F47" s="17"/>
      <c r="G47" s="19">
        <f t="shared" si="4"/>
        <v>170.11446999999998</v>
      </c>
      <c r="H47" s="19">
        <f t="shared" si="4"/>
        <v>0</v>
      </c>
      <c r="I47" s="98">
        <f t="shared" si="2"/>
        <v>0</v>
      </c>
    </row>
    <row r="48" spans="1:9" s="7" customFormat="1" ht="15.75">
      <c r="A48" s="21"/>
      <c r="B48" s="16" t="s">
        <v>24</v>
      </c>
      <c r="C48" s="17" t="s">
        <v>35</v>
      </c>
      <c r="D48" s="17" t="s">
        <v>41</v>
      </c>
      <c r="E48" s="18" t="s">
        <v>43</v>
      </c>
      <c r="F48" s="17" t="s">
        <v>25</v>
      </c>
      <c r="G48" s="19">
        <f>400-114.94253-114.943</f>
        <v>170.11446999999998</v>
      </c>
      <c r="H48" s="51">
        <v>0</v>
      </c>
      <c r="I48" s="98">
        <f t="shared" si="2"/>
        <v>0</v>
      </c>
    </row>
    <row r="49" spans="1:9" s="7" customFormat="1" ht="15.75">
      <c r="A49" s="21"/>
      <c r="B49" s="16" t="s">
        <v>44</v>
      </c>
      <c r="C49" s="17" t="s">
        <v>35</v>
      </c>
      <c r="D49" s="17" t="s">
        <v>45</v>
      </c>
      <c r="E49" s="18"/>
      <c r="F49" s="17"/>
      <c r="G49" s="19">
        <f>G50</f>
        <v>3723.1156</v>
      </c>
      <c r="H49" s="19">
        <f>H50</f>
        <v>3709.9456</v>
      </c>
      <c r="I49" s="98">
        <f t="shared" si="2"/>
        <v>99.64626400534004</v>
      </c>
    </row>
    <row r="50" spans="1:9" s="7" customFormat="1" ht="15.75">
      <c r="A50" s="21"/>
      <c r="B50" s="16" t="s">
        <v>11</v>
      </c>
      <c r="C50" s="17" t="s">
        <v>35</v>
      </c>
      <c r="D50" s="17" t="s">
        <v>45</v>
      </c>
      <c r="E50" s="18" t="s">
        <v>12</v>
      </c>
      <c r="F50" s="17"/>
      <c r="G50" s="19">
        <f>G51+G53</f>
        <v>3723.1156</v>
      </c>
      <c r="H50" s="19">
        <f>H51+H53</f>
        <v>3709.9456</v>
      </c>
      <c r="I50" s="98">
        <f t="shared" si="2"/>
        <v>99.64626400534004</v>
      </c>
    </row>
    <row r="51" spans="1:9" s="7" customFormat="1" ht="47.25">
      <c r="A51" s="21"/>
      <c r="B51" s="16" t="s">
        <v>237</v>
      </c>
      <c r="C51" s="17" t="s">
        <v>35</v>
      </c>
      <c r="D51" s="17" t="s">
        <v>45</v>
      </c>
      <c r="E51" s="18" t="s">
        <v>50</v>
      </c>
      <c r="F51" s="17"/>
      <c r="G51" s="19">
        <f>G52</f>
        <v>3394.944</v>
      </c>
      <c r="H51" s="19">
        <f>H52</f>
        <v>3394.944</v>
      </c>
      <c r="I51" s="98">
        <f t="shared" si="2"/>
        <v>100</v>
      </c>
    </row>
    <row r="52" spans="1:9" s="7" customFormat="1" ht="31.5">
      <c r="A52" s="21"/>
      <c r="B52" s="20" t="s">
        <v>51</v>
      </c>
      <c r="C52" s="17" t="s">
        <v>35</v>
      </c>
      <c r="D52" s="17" t="s">
        <v>45</v>
      </c>
      <c r="E52" s="18" t="s">
        <v>50</v>
      </c>
      <c r="F52" s="17" t="s">
        <v>52</v>
      </c>
      <c r="G52" s="19">
        <v>3394.944</v>
      </c>
      <c r="H52" s="51">
        <v>3394.944</v>
      </c>
      <c r="I52" s="98">
        <f t="shared" si="2"/>
        <v>100</v>
      </c>
    </row>
    <row r="53" spans="1:9" s="7" customFormat="1" ht="31.5">
      <c r="A53" s="21"/>
      <c r="B53" s="16" t="s">
        <v>292</v>
      </c>
      <c r="C53" s="17" t="s">
        <v>35</v>
      </c>
      <c r="D53" s="17" t="s">
        <v>45</v>
      </c>
      <c r="E53" s="18" t="s">
        <v>293</v>
      </c>
      <c r="F53" s="17"/>
      <c r="G53" s="19">
        <f>G54</f>
        <v>328.1716</v>
      </c>
      <c r="H53" s="19">
        <f>H54</f>
        <v>315.0016</v>
      </c>
      <c r="I53" s="98">
        <f t="shared" si="2"/>
        <v>95.98685565722323</v>
      </c>
    </row>
    <row r="54" spans="1:9" s="7" customFormat="1" ht="31.5">
      <c r="A54" s="21"/>
      <c r="B54" s="16" t="s">
        <v>22</v>
      </c>
      <c r="C54" s="17" t="s">
        <v>35</v>
      </c>
      <c r="D54" s="17" t="s">
        <v>45</v>
      </c>
      <c r="E54" s="18" t="s">
        <v>293</v>
      </c>
      <c r="F54" s="17" t="s">
        <v>23</v>
      </c>
      <c r="G54" s="19">
        <v>328.1716</v>
      </c>
      <c r="H54" s="51">
        <v>315.0016</v>
      </c>
      <c r="I54" s="98">
        <f t="shared" si="2"/>
        <v>95.98685565722323</v>
      </c>
    </row>
    <row r="55" spans="1:9" s="7" customFormat="1" ht="15.75">
      <c r="A55" s="15"/>
      <c r="B55" s="16" t="s">
        <v>46</v>
      </c>
      <c r="C55" s="17" t="s">
        <v>35</v>
      </c>
      <c r="D55" s="17" t="s">
        <v>47</v>
      </c>
      <c r="E55" s="18"/>
      <c r="F55" s="17"/>
      <c r="G55" s="19">
        <f>G56</f>
        <v>257.69153</v>
      </c>
      <c r="H55" s="19">
        <f>H56</f>
        <v>257.69153</v>
      </c>
      <c r="I55" s="98">
        <f t="shared" si="2"/>
        <v>100</v>
      </c>
    </row>
    <row r="56" spans="1:9" s="7" customFormat="1" ht="15.75">
      <c r="A56" s="21"/>
      <c r="B56" s="16" t="s">
        <v>48</v>
      </c>
      <c r="C56" s="17" t="s">
        <v>35</v>
      </c>
      <c r="D56" s="17" t="s">
        <v>49</v>
      </c>
      <c r="E56" s="18"/>
      <c r="F56" s="17"/>
      <c r="G56" s="19">
        <f>G57</f>
        <v>257.69153</v>
      </c>
      <c r="H56" s="19">
        <f>H57</f>
        <v>257.69153</v>
      </c>
      <c r="I56" s="98">
        <f t="shared" si="2"/>
        <v>100</v>
      </c>
    </row>
    <row r="57" spans="1:9" s="7" customFormat="1" ht="15.75">
      <c r="A57" s="21"/>
      <c r="B57" s="16" t="s">
        <v>11</v>
      </c>
      <c r="C57" s="17" t="s">
        <v>35</v>
      </c>
      <c r="D57" s="17" t="s">
        <v>49</v>
      </c>
      <c r="E57" s="18" t="s">
        <v>12</v>
      </c>
      <c r="F57" s="17"/>
      <c r="G57" s="19">
        <f>G58+G60</f>
        <v>257.69153</v>
      </c>
      <c r="H57" s="19">
        <f>H58+H60</f>
        <v>257.69153</v>
      </c>
      <c r="I57" s="98">
        <f t="shared" si="2"/>
        <v>100</v>
      </c>
    </row>
    <row r="58" spans="1:9" s="7" customFormat="1" ht="47.25">
      <c r="A58" s="21"/>
      <c r="B58" s="16" t="s">
        <v>308</v>
      </c>
      <c r="C58" s="17" t="s">
        <v>35</v>
      </c>
      <c r="D58" s="17" t="s">
        <v>49</v>
      </c>
      <c r="E58" s="18" t="s">
        <v>309</v>
      </c>
      <c r="F58" s="17"/>
      <c r="G58" s="19">
        <f>G59</f>
        <v>229.88553000000002</v>
      </c>
      <c r="H58" s="19">
        <f>H59</f>
        <v>229.88553</v>
      </c>
      <c r="I58" s="98">
        <f t="shared" si="2"/>
        <v>99.99999999999999</v>
      </c>
    </row>
    <row r="59" spans="1:9" s="7" customFormat="1" ht="31.5">
      <c r="A59" s="21"/>
      <c r="B59" s="20" t="s">
        <v>51</v>
      </c>
      <c r="C59" s="17" t="s">
        <v>35</v>
      </c>
      <c r="D59" s="17" t="s">
        <v>49</v>
      </c>
      <c r="E59" s="18" t="s">
        <v>309</v>
      </c>
      <c r="F59" s="17" t="s">
        <v>52</v>
      </c>
      <c r="G59" s="19">
        <f>114.94253+114.943</f>
        <v>229.88553000000002</v>
      </c>
      <c r="H59" s="48">
        <v>229.88553</v>
      </c>
      <c r="I59" s="98">
        <f t="shared" si="2"/>
        <v>99.99999999999999</v>
      </c>
    </row>
    <row r="60" spans="1:9" s="7" customFormat="1" ht="47.25">
      <c r="A60" s="21"/>
      <c r="B60" s="16" t="s">
        <v>237</v>
      </c>
      <c r="C60" s="17" t="s">
        <v>35</v>
      </c>
      <c r="D60" s="17" t="s">
        <v>49</v>
      </c>
      <c r="E60" s="18" t="s">
        <v>50</v>
      </c>
      <c r="F60" s="17"/>
      <c r="G60" s="19">
        <f>G61</f>
        <v>27.806</v>
      </c>
      <c r="H60" s="19">
        <f>H61</f>
        <v>27.806</v>
      </c>
      <c r="I60" s="98">
        <f t="shared" si="2"/>
        <v>100</v>
      </c>
    </row>
    <row r="61" spans="1:9" s="7" customFormat="1" ht="31.5">
      <c r="A61" s="21"/>
      <c r="B61" s="20" t="s">
        <v>51</v>
      </c>
      <c r="C61" s="17" t="s">
        <v>35</v>
      </c>
      <c r="D61" s="17" t="s">
        <v>49</v>
      </c>
      <c r="E61" s="18" t="s">
        <v>50</v>
      </c>
      <c r="F61" s="17" t="s">
        <v>52</v>
      </c>
      <c r="G61" s="19">
        <f>27.806</f>
        <v>27.806</v>
      </c>
      <c r="H61" s="48">
        <v>27.806</v>
      </c>
      <c r="I61" s="98">
        <f t="shared" si="2"/>
        <v>100</v>
      </c>
    </row>
    <row r="62" spans="1:9" ht="47.25">
      <c r="A62" s="44">
        <v>4</v>
      </c>
      <c r="B62" s="67" t="s">
        <v>53</v>
      </c>
      <c r="C62" s="68" t="s">
        <v>54</v>
      </c>
      <c r="D62" s="68"/>
      <c r="E62" s="68"/>
      <c r="F62" s="68"/>
      <c r="G62" s="69">
        <f>G63+G74</f>
        <v>25069.470439999997</v>
      </c>
      <c r="H62" s="69">
        <f>H63+H74</f>
        <v>24936.890759999995</v>
      </c>
      <c r="I62" s="98">
        <f t="shared" si="2"/>
        <v>99.471150855311</v>
      </c>
    </row>
    <row r="63" spans="1:9" s="7" customFormat="1" ht="15.75">
      <c r="A63" s="21"/>
      <c r="B63" s="16" t="s">
        <v>7</v>
      </c>
      <c r="C63" s="17" t="s">
        <v>54</v>
      </c>
      <c r="D63" s="17" t="s">
        <v>8</v>
      </c>
      <c r="E63" s="18"/>
      <c r="F63" s="17"/>
      <c r="G63" s="19">
        <f>G64+G70</f>
        <v>21194.92227</v>
      </c>
      <c r="H63" s="19">
        <f>H64+H70</f>
        <v>21062.342589999997</v>
      </c>
      <c r="I63" s="98">
        <f t="shared" si="2"/>
        <v>99.37447432780793</v>
      </c>
    </row>
    <row r="64" spans="1:9" s="7" customFormat="1" ht="47.25">
      <c r="A64" s="21"/>
      <c r="B64" s="20" t="s">
        <v>30</v>
      </c>
      <c r="C64" s="17" t="s">
        <v>54</v>
      </c>
      <c r="D64" s="17" t="s">
        <v>31</v>
      </c>
      <c r="E64" s="18" t="s">
        <v>19</v>
      </c>
      <c r="F64" s="17" t="s">
        <v>19</v>
      </c>
      <c r="G64" s="19">
        <f>G65</f>
        <v>21094.92227</v>
      </c>
      <c r="H64" s="19">
        <f>H65</f>
        <v>20962.342589999997</v>
      </c>
      <c r="I64" s="98">
        <f t="shared" si="2"/>
        <v>99.37150903756327</v>
      </c>
    </row>
    <row r="65" spans="1:9" s="7" customFormat="1" ht="15.75">
      <c r="A65" s="21"/>
      <c r="B65" s="16" t="s">
        <v>11</v>
      </c>
      <c r="C65" s="17" t="s">
        <v>54</v>
      </c>
      <c r="D65" s="17" t="s">
        <v>31</v>
      </c>
      <c r="E65" s="18" t="s">
        <v>12</v>
      </c>
      <c r="F65" s="17"/>
      <c r="G65" s="19">
        <f>G66</f>
        <v>21094.92227</v>
      </c>
      <c r="H65" s="19">
        <f>H66</f>
        <v>20962.342589999997</v>
      </c>
      <c r="I65" s="98">
        <f t="shared" si="2"/>
        <v>99.37150903756327</v>
      </c>
    </row>
    <row r="66" spans="1:9" s="7" customFormat="1" ht="78.75">
      <c r="A66" s="21"/>
      <c r="B66" s="16" t="s">
        <v>20</v>
      </c>
      <c r="C66" s="17" t="s">
        <v>54</v>
      </c>
      <c r="D66" s="17" t="s">
        <v>31</v>
      </c>
      <c r="E66" s="18" t="s">
        <v>21</v>
      </c>
      <c r="F66" s="17"/>
      <c r="G66" s="19">
        <f>G67+G68+G69</f>
        <v>21094.92227</v>
      </c>
      <c r="H66" s="19">
        <f>H67+H68+H69</f>
        <v>20962.342589999997</v>
      </c>
      <c r="I66" s="98">
        <f t="shared" si="2"/>
        <v>99.37150903756327</v>
      </c>
    </row>
    <row r="67" spans="1:9" s="8" customFormat="1" ht="78.75">
      <c r="A67" s="23"/>
      <c r="B67" s="16" t="s">
        <v>15</v>
      </c>
      <c r="C67" s="17" t="s">
        <v>54</v>
      </c>
      <c r="D67" s="17" t="s">
        <v>31</v>
      </c>
      <c r="E67" s="18" t="s">
        <v>21</v>
      </c>
      <c r="F67" s="17" t="s">
        <v>16</v>
      </c>
      <c r="G67" s="19">
        <v>19564.61443</v>
      </c>
      <c r="H67" s="48">
        <v>19488.74987</v>
      </c>
      <c r="I67" s="98">
        <f t="shared" si="2"/>
        <v>99.61223585432037</v>
      </c>
    </row>
    <row r="68" spans="1:9" s="8" customFormat="1" ht="31.5">
      <c r="A68" s="23"/>
      <c r="B68" s="16" t="s">
        <v>22</v>
      </c>
      <c r="C68" s="17" t="s">
        <v>54</v>
      </c>
      <c r="D68" s="17" t="s">
        <v>31</v>
      </c>
      <c r="E68" s="18" t="s">
        <v>21</v>
      </c>
      <c r="F68" s="17" t="s">
        <v>23</v>
      </c>
      <c r="G68" s="19">
        <f>1408.1224-74.4054+365-168.67838</f>
        <v>1530.0386199999998</v>
      </c>
      <c r="H68" s="48">
        <v>1473.3235</v>
      </c>
      <c r="I68" s="98">
        <f t="shared" si="2"/>
        <v>96.29322297760041</v>
      </c>
    </row>
    <row r="69" spans="1:9" s="3" customFormat="1" ht="15.75">
      <c r="A69" s="21"/>
      <c r="B69" s="16" t="s">
        <v>24</v>
      </c>
      <c r="C69" s="17" t="s">
        <v>54</v>
      </c>
      <c r="D69" s="17" t="s">
        <v>31</v>
      </c>
      <c r="E69" s="18" t="s">
        <v>21</v>
      </c>
      <c r="F69" s="17" t="s">
        <v>25</v>
      </c>
      <c r="G69" s="19">
        <v>0.26922</v>
      </c>
      <c r="H69" s="48">
        <v>0.26922</v>
      </c>
      <c r="I69" s="98">
        <f t="shared" si="2"/>
        <v>100</v>
      </c>
    </row>
    <row r="70" spans="1:9" s="3" customFormat="1" ht="15.75">
      <c r="A70" s="21"/>
      <c r="B70" s="16" t="s">
        <v>44</v>
      </c>
      <c r="C70" s="17" t="s">
        <v>54</v>
      </c>
      <c r="D70" s="17" t="s">
        <v>45</v>
      </c>
      <c r="E70" s="18"/>
      <c r="F70" s="17"/>
      <c r="G70" s="19">
        <f aca="true" t="shared" si="5" ref="G70:H72">G71</f>
        <v>100</v>
      </c>
      <c r="H70" s="19">
        <f t="shared" si="5"/>
        <v>100</v>
      </c>
      <c r="I70" s="98">
        <f t="shared" si="2"/>
        <v>100</v>
      </c>
    </row>
    <row r="71" spans="1:9" s="3" customFormat="1" ht="47.25">
      <c r="A71" s="21"/>
      <c r="B71" s="16" t="s">
        <v>175</v>
      </c>
      <c r="C71" s="17" t="s">
        <v>54</v>
      </c>
      <c r="D71" s="17" t="s">
        <v>45</v>
      </c>
      <c r="E71" s="18" t="s">
        <v>55</v>
      </c>
      <c r="F71" s="17"/>
      <c r="G71" s="19">
        <f t="shared" si="5"/>
        <v>100</v>
      </c>
      <c r="H71" s="19">
        <f t="shared" si="5"/>
        <v>100</v>
      </c>
      <c r="I71" s="98">
        <f t="shared" si="2"/>
        <v>100</v>
      </c>
    </row>
    <row r="72" spans="1:9" s="3" customFormat="1" ht="157.5">
      <c r="A72" s="21"/>
      <c r="B72" s="24" t="s">
        <v>239</v>
      </c>
      <c r="C72" s="17" t="s">
        <v>54</v>
      </c>
      <c r="D72" s="17" t="s">
        <v>45</v>
      </c>
      <c r="E72" s="18" t="s">
        <v>56</v>
      </c>
      <c r="F72" s="17"/>
      <c r="G72" s="19">
        <f t="shared" si="5"/>
        <v>100</v>
      </c>
      <c r="H72" s="19">
        <f t="shared" si="5"/>
        <v>100</v>
      </c>
      <c r="I72" s="98">
        <f t="shared" si="2"/>
        <v>100</v>
      </c>
    </row>
    <row r="73" spans="1:9" s="3" customFormat="1" ht="15.75">
      <c r="A73" s="21"/>
      <c r="B73" s="16" t="s">
        <v>24</v>
      </c>
      <c r="C73" s="17" t="s">
        <v>54</v>
      </c>
      <c r="D73" s="17" t="s">
        <v>45</v>
      </c>
      <c r="E73" s="18" t="s">
        <v>56</v>
      </c>
      <c r="F73" s="17" t="s">
        <v>25</v>
      </c>
      <c r="G73" s="19">
        <f>105-5</f>
        <v>100</v>
      </c>
      <c r="H73" s="48">
        <v>100</v>
      </c>
      <c r="I73" s="98">
        <f t="shared" si="2"/>
        <v>100</v>
      </c>
    </row>
    <row r="74" spans="1:9" s="3" customFormat="1" ht="15.75">
      <c r="A74" s="15"/>
      <c r="B74" s="16" t="s">
        <v>46</v>
      </c>
      <c r="C74" s="17" t="s">
        <v>54</v>
      </c>
      <c r="D74" s="17" t="s">
        <v>47</v>
      </c>
      <c r="E74" s="18"/>
      <c r="F74" s="17"/>
      <c r="G74" s="19">
        <f>G75</f>
        <v>3874.54817</v>
      </c>
      <c r="H74" s="19">
        <f>H75</f>
        <v>3874.54817</v>
      </c>
      <c r="I74" s="98">
        <f t="shared" si="2"/>
        <v>100</v>
      </c>
    </row>
    <row r="75" spans="1:9" s="3" customFormat="1" ht="15.75">
      <c r="A75" s="15"/>
      <c r="B75" s="16" t="s">
        <v>57</v>
      </c>
      <c r="C75" s="17" t="s">
        <v>54</v>
      </c>
      <c r="D75" s="17" t="s">
        <v>58</v>
      </c>
      <c r="E75" s="18"/>
      <c r="F75" s="17"/>
      <c r="G75" s="19">
        <f>G77</f>
        <v>3874.54817</v>
      </c>
      <c r="H75" s="19">
        <f>H77</f>
        <v>3874.54817</v>
      </c>
      <c r="I75" s="98">
        <f t="shared" si="2"/>
        <v>100</v>
      </c>
    </row>
    <row r="76" spans="1:9" s="3" customFormat="1" ht="15.75">
      <c r="A76" s="15"/>
      <c r="B76" s="16" t="s">
        <v>11</v>
      </c>
      <c r="C76" s="17" t="s">
        <v>54</v>
      </c>
      <c r="D76" s="17" t="s">
        <v>58</v>
      </c>
      <c r="E76" s="18" t="s">
        <v>12</v>
      </c>
      <c r="F76" s="17"/>
      <c r="G76" s="19">
        <f>G77</f>
        <v>3874.54817</v>
      </c>
      <c r="H76" s="19">
        <f>H77</f>
        <v>3874.54817</v>
      </c>
      <c r="I76" s="98">
        <f t="shared" si="2"/>
        <v>100</v>
      </c>
    </row>
    <row r="77" spans="1:9" s="3" customFormat="1" ht="31.5">
      <c r="A77" s="15"/>
      <c r="B77" s="20" t="s">
        <v>59</v>
      </c>
      <c r="C77" s="17" t="s">
        <v>54</v>
      </c>
      <c r="D77" s="17" t="s">
        <v>58</v>
      </c>
      <c r="E77" s="18" t="s">
        <v>60</v>
      </c>
      <c r="F77" s="17"/>
      <c r="G77" s="19">
        <f>G78</f>
        <v>3874.54817</v>
      </c>
      <c r="H77" s="19">
        <f>H78</f>
        <v>3874.54817</v>
      </c>
      <c r="I77" s="98">
        <f t="shared" si="2"/>
        <v>100</v>
      </c>
    </row>
    <row r="78" spans="1:9" s="3" customFormat="1" ht="31.5">
      <c r="A78" s="15"/>
      <c r="B78" s="20" t="s">
        <v>51</v>
      </c>
      <c r="C78" s="17" t="s">
        <v>54</v>
      </c>
      <c r="D78" s="17" t="s">
        <v>58</v>
      </c>
      <c r="E78" s="18" t="s">
        <v>60</v>
      </c>
      <c r="F78" s="17" t="s">
        <v>52</v>
      </c>
      <c r="G78" s="19">
        <f>1449.87456+1044.37056+900.34825+311.27642+168.67838</f>
        <v>3874.54817</v>
      </c>
      <c r="H78" s="48">
        <v>3874.54817</v>
      </c>
      <c r="I78" s="98">
        <f aca="true" t="shared" si="6" ref="I78:I141">H78/G78*100</f>
        <v>100</v>
      </c>
    </row>
    <row r="79" spans="1:9" ht="47.25">
      <c r="A79" s="44">
        <v>5</v>
      </c>
      <c r="B79" s="67" t="s">
        <v>61</v>
      </c>
      <c r="C79" s="68" t="s">
        <v>62</v>
      </c>
      <c r="D79" s="68"/>
      <c r="E79" s="68"/>
      <c r="F79" s="68"/>
      <c r="G79" s="69">
        <f>G80+G91+G134+G233+G243</f>
        <v>295202.16984</v>
      </c>
      <c r="H79" s="69">
        <f>H80+H91+H134+H233+H243</f>
        <v>292663.74386</v>
      </c>
      <c r="I79" s="98">
        <f t="shared" si="6"/>
        <v>99.14010592084203</v>
      </c>
    </row>
    <row r="80" spans="1:9" ht="15.75">
      <c r="A80" s="44"/>
      <c r="B80" s="20" t="s">
        <v>7</v>
      </c>
      <c r="C80" s="18" t="s">
        <v>62</v>
      </c>
      <c r="D80" s="18" t="s">
        <v>8</v>
      </c>
      <c r="E80" s="18"/>
      <c r="F80" s="18"/>
      <c r="G80" s="19">
        <f>G81</f>
        <v>6529.11264</v>
      </c>
      <c r="H80" s="19">
        <f>H81</f>
        <v>6529.11202</v>
      </c>
      <c r="I80" s="98">
        <f t="shared" si="6"/>
        <v>99.99999050406947</v>
      </c>
    </row>
    <row r="81" spans="1:9" ht="15.75">
      <c r="A81" s="44"/>
      <c r="B81" s="20" t="s">
        <v>44</v>
      </c>
      <c r="C81" s="18" t="s">
        <v>62</v>
      </c>
      <c r="D81" s="18" t="s">
        <v>45</v>
      </c>
      <c r="E81" s="18"/>
      <c r="F81" s="18"/>
      <c r="G81" s="19">
        <f>G82+G88</f>
        <v>6529.11264</v>
      </c>
      <c r="H81" s="19">
        <f>H82+H88</f>
        <v>6529.11202</v>
      </c>
      <c r="I81" s="98">
        <f t="shared" si="6"/>
        <v>99.99999050406947</v>
      </c>
    </row>
    <row r="82" spans="1:9" ht="63">
      <c r="A82" s="44"/>
      <c r="B82" s="20" t="s">
        <v>261</v>
      </c>
      <c r="C82" s="18" t="s">
        <v>62</v>
      </c>
      <c r="D82" s="18" t="s">
        <v>45</v>
      </c>
      <c r="E82" s="18" t="s">
        <v>259</v>
      </c>
      <c r="F82" s="18"/>
      <c r="G82" s="19">
        <f>G83</f>
        <v>469.11264</v>
      </c>
      <c r="H82" s="19">
        <f>H83</f>
        <v>469.11202</v>
      </c>
      <c r="I82" s="98">
        <f t="shared" si="6"/>
        <v>99.99986783557995</v>
      </c>
    </row>
    <row r="83" spans="1:9" ht="78.75">
      <c r="A83" s="44"/>
      <c r="B83" s="20" t="s">
        <v>337</v>
      </c>
      <c r="C83" s="18" t="s">
        <v>260</v>
      </c>
      <c r="D83" s="18" t="s">
        <v>45</v>
      </c>
      <c r="E83" s="18" t="s">
        <v>316</v>
      </c>
      <c r="F83" s="18"/>
      <c r="G83" s="19">
        <f>G84</f>
        <v>469.11264</v>
      </c>
      <c r="H83" s="19">
        <f>H84</f>
        <v>469.11202</v>
      </c>
      <c r="I83" s="98">
        <f t="shared" si="6"/>
        <v>99.99986783557995</v>
      </c>
    </row>
    <row r="84" spans="1:9" ht="47.25">
      <c r="A84" s="44"/>
      <c r="B84" s="20" t="s">
        <v>63</v>
      </c>
      <c r="C84" s="18" t="s">
        <v>260</v>
      </c>
      <c r="D84" s="18" t="s">
        <v>45</v>
      </c>
      <c r="E84" s="18" t="s">
        <v>316</v>
      </c>
      <c r="F84" s="18" t="s">
        <v>64</v>
      </c>
      <c r="G84" s="19">
        <f>SUM(G85:G87)</f>
        <v>469.11264</v>
      </c>
      <c r="H84" s="48">
        <v>469.11202</v>
      </c>
      <c r="I84" s="98">
        <f t="shared" si="6"/>
        <v>99.99986783557995</v>
      </c>
    </row>
    <row r="85" spans="1:9" s="41" customFormat="1" ht="15.75">
      <c r="A85" s="45"/>
      <c r="B85" s="100" t="s">
        <v>229</v>
      </c>
      <c r="C85" s="40"/>
      <c r="D85" s="40"/>
      <c r="E85" s="40"/>
      <c r="F85" s="40"/>
      <c r="G85" s="38">
        <f>401.09137</f>
        <v>401.09137</v>
      </c>
      <c r="H85" s="38">
        <f>401.09137</f>
        <v>401.09137</v>
      </c>
      <c r="I85" s="98">
        <f t="shared" si="6"/>
        <v>100</v>
      </c>
    </row>
    <row r="86" spans="1:9" s="41" customFormat="1" ht="15.75">
      <c r="A86" s="45"/>
      <c r="B86" s="100" t="s">
        <v>195</v>
      </c>
      <c r="C86" s="40"/>
      <c r="D86" s="40"/>
      <c r="E86" s="40"/>
      <c r="F86" s="40"/>
      <c r="G86" s="38">
        <v>21.11007</v>
      </c>
      <c r="H86" s="38">
        <v>21.10945</v>
      </c>
      <c r="I86" s="98">
        <f t="shared" si="6"/>
        <v>99.9970630130549</v>
      </c>
    </row>
    <row r="87" spans="1:9" s="41" customFormat="1" ht="15.75">
      <c r="A87" s="45"/>
      <c r="B87" s="100" t="s">
        <v>194</v>
      </c>
      <c r="C87" s="40"/>
      <c r="D87" s="40"/>
      <c r="E87" s="40"/>
      <c r="F87" s="40"/>
      <c r="G87" s="38">
        <f>2.34556+43.095+1.47072-0.00008</f>
        <v>46.9112</v>
      </c>
      <c r="H87" s="38">
        <f>2.34556+43.095+1.47072-0.00008</f>
        <v>46.9112</v>
      </c>
      <c r="I87" s="98">
        <f t="shared" si="6"/>
        <v>100</v>
      </c>
    </row>
    <row r="88" spans="1:9" ht="15.75">
      <c r="A88" s="44"/>
      <c r="B88" s="20" t="s">
        <v>11</v>
      </c>
      <c r="C88" s="18" t="s">
        <v>62</v>
      </c>
      <c r="D88" s="18" t="s">
        <v>45</v>
      </c>
      <c r="E88" s="18" t="s">
        <v>12</v>
      </c>
      <c r="F88" s="18"/>
      <c r="G88" s="19">
        <f>G89</f>
        <v>6060</v>
      </c>
      <c r="H88" s="19">
        <f>H89</f>
        <v>6060</v>
      </c>
      <c r="I88" s="98">
        <f t="shared" si="6"/>
        <v>100</v>
      </c>
    </row>
    <row r="89" spans="1:9" ht="63">
      <c r="A89" s="44"/>
      <c r="B89" s="20" t="s">
        <v>263</v>
      </c>
      <c r="C89" s="18" t="s">
        <v>62</v>
      </c>
      <c r="D89" s="18" t="s">
        <v>45</v>
      </c>
      <c r="E89" s="18" t="s">
        <v>262</v>
      </c>
      <c r="F89" s="18"/>
      <c r="G89" s="19">
        <f>G90</f>
        <v>6060</v>
      </c>
      <c r="H89" s="19">
        <f>H90</f>
        <v>6060</v>
      </c>
      <c r="I89" s="98">
        <f t="shared" si="6"/>
        <v>100</v>
      </c>
    </row>
    <row r="90" spans="1:9" ht="47.25">
      <c r="A90" s="44"/>
      <c r="B90" s="20" t="s">
        <v>63</v>
      </c>
      <c r="C90" s="18" t="s">
        <v>62</v>
      </c>
      <c r="D90" s="18" t="s">
        <v>45</v>
      </c>
      <c r="E90" s="18" t="s">
        <v>262</v>
      </c>
      <c r="F90" s="18" t="s">
        <v>64</v>
      </c>
      <c r="G90" s="19">
        <f>5865+195</f>
        <v>6060</v>
      </c>
      <c r="H90" s="48">
        <v>6060</v>
      </c>
      <c r="I90" s="98">
        <f t="shared" si="6"/>
        <v>100</v>
      </c>
    </row>
    <row r="91" spans="1:9" ht="15.75">
      <c r="A91" s="44"/>
      <c r="B91" s="16" t="s">
        <v>65</v>
      </c>
      <c r="C91" s="18" t="s">
        <v>62</v>
      </c>
      <c r="D91" s="18" t="s">
        <v>66</v>
      </c>
      <c r="E91" s="18"/>
      <c r="F91" s="18"/>
      <c r="G91" s="19">
        <f>G92+G100+G127</f>
        <v>47905.58153</v>
      </c>
      <c r="H91" s="19">
        <f>H92+H100+H127</f>
        <v>47562.05536</v>
      </c>
      <c r="I91" s="98">
        <f t="shared" si="6"/>
        <v>99.28290992609102</v>
      </c>
    </row>
    <row r="92" spans="1:9" ht="15.75">
      <c r="A92" s="44"/>
      <c r="B92" s="16" t="s">
        <v>206</v>
      </c>
      <c r="C92" s="17" t="s">
        <v>62</v>
      </c>
      <c r="D92" s="17" t="s">
        <v>205</v>
      </c>
      <c r="E92" s="18"/>
      <c r="F92" s="17"/>
      <c r="G92" s="19">
        <f>G93</f>
        <v>5292.79958</v>
      </c>
      <c r="H92" s="19">
        <f>H93</f>
        <v>5291.92784</v>
      </c>
      <c r="I92" s="98">
        <f t="shared" si="6"/>
        <v>99.98352969941855</v>
      </c>
    </row>
    <row r="93" spans="1:9" ht="63">
      <c r="A93" s="44"/>
      <c r="B93" s="16" t="s">
        <v>242</v>
      </c>
      <c r="C93" s="17" t="s">
        <v>62</v>
      </c>
      <c r="D93" s="17" t="s">
        <v>205</v>
      </c>
      <c r="E93" s="18" t="s">
        <v>103</v>
      </c>
      <c r="F93" s="26"/>
      <c r="G93" s="19">
        <f>G94</f>
        <v>5292.79958</v>
      </c>
      <c r="H93" s="19">
        <f>H94</f>
        <v>5291.92784</v>
      </c>
      <c r="I93" s="98">
        <f t="shared" si="6"/>
        <v>99.98352969941855</v>
      </c>
    </row>
    <row r="94" spans="1:9" ht="63">
      <c r="A94" s="44"/>
      <c r="B94" s="24" t="s">
        <v>198</v>
      </c>
      <c r="C94" s="17" t="s">
        <v>62</v>
      </c>
      <c r="D94" s="17" t="s">
        <v>205</v>
      </c>
      <c r="E94" s="18" t="s">
        <v>199</v>
      </c>
      <c r="F94" s="26"/>
      <c r="G94" s="19">
        <f>G95+G97</f>
        <v>5292.79958</v>
      </c>
      <c r="H94" s="19">
        <f>H95+H97</f>
        <v>5291.92784</v>
      </c>
      <c r="I94" s="98">
        <f t="shared" si="6"/>
        <v>99.98352969941855</v>
      </c>
    </row>
    <row r="95" spans="1:9" ht="94.5">
      <c r="A95" s="44"/>
      <c r="B95" s="24" t="s">
        <v>225</v>
      </c>
      <c r="C95" s="17" t="s">
        <v>62</v>
      </c>
      <c r="D95" s="17" t="s">
        <v>205</v>
      </c>
      <c r="E95" s="18" t="s">
        <v>226</v>
      </c>
      <c r="F95" s="61"/>
      <c r="G95" s="19">
        <f>G96</f>
        <v>92.85714000000002</v>
      </c>
      <c r="H95" s="19">
        <f>H96</f>
        <v>92.85714</v>
      </c>
      <c r="I95" s="98">
        <f t="shared" si="6"/>
        <v>99.99999999999999</v>
      </c>
    </row>
    <row r="96" spans="1:9" ht="31.5">
      <c r="A96" s="44"/>
      <c r="B96" s="16" t="s">
        <v>22</v>
      </c>
      <c r="C96" s="17" t="s">
        <v>62</v>
      </c>
      <c r="D96" s="17" t="s">
        <v>205</v>
      </c>
      <c r="E96" s="18" t="s">
        <v>226</v>
      </c>
      <c r="F96" s="26" t="s">
        <v>23</v>
      </c>
      <c r="G96" s="19">
        <f>176.8-83.94286</f>
        <v>92.85714000000002</v>
      </c>
      <c r="H96" s="48">
        <v>92.85714</v>
      </c>
      <c r="I96" s="98">
        <f t="shared" si="6"/>
        <v>99.99999999999999</v>
      </c>
    </row>
    <row r="97" spans="1:9" ht="110.25">
      <c r="A97" s="44"/>
      <c r="B97" s="24" t="s">
        <v>224</v>
      </c>
      <c r="C97" s="17" t="s">
        <v>62</v>
      </c>
      <c r="D97" s="17" t="s">
        <v>205</v>
      </c>
      <c r="E97" s="18" t="s">
        <v>317</v>
      </c>
      <c r="F97" s="61"/>
      <c r="G97" s="19">
        <f>G98</f>
        <v>5199.94244</v>
      </c>
      <c r="H97" s="19">
        <f>H98</f>
        <v>5199.0707</v>
      </c>
      <c r="I97" s="98">
        <f t="shared" si="6"/>
        <v>99.9832355836616</v>
      </c>
    </row>
    <row r="98" spans="1:9" ht="31.5">
      <c r="A98" s="44"/>
      <c r="B98" s="16" t="s">
        <v>22</v>
      </c>
      <c r="C98" s="17" t="s">
        <v>62</v>
      </c>
      <c r="D98" s="17" t="s">
        <v>205</v>
      </c>
      <c r="E98" s="18" t="s">
        <v>317</v>
      </c>
      <c r="F98" s="26" t="s">
        <v>23</v>
      </c>
      <c r="G98" s="19">
        <f>4000-35.156+3004.5495-38.59256-1730.8585</f>
        <v>5199.94244</v>
      </c>
      <c r="H98" s="48">
        <v>5199.0707</v>
      </c>
      <c r="I98" s="98">
        <f t="shared" si="6"/>
        <v>99.9832355836616</v>
      </c>
    </row>
    <row r="99" spans="1:9" ht="63">
      <c r="A99" s="44"/>
      <c r="B99" s="99" t="s">
        <v>287</v>
      </c>
      <c r="C99" s="17"/>
      <c r="D99" s="17"/>
      <c r="E99" s="18"/>
      <c r="F99" s="26"/>
      <c r="G99" s="38">
        <v>4238.60195</v>
      </c>
      <c r="H99" s="38">
        <v>4238.60195</v>
      </c>
      <c r="I99" s="98">
        <f t="shared" si="6"/>
        <v>100</v>
      </c>
    </row>
    <row r="100" spans="1:9" s="2" customFormat="1" ht="15.75">
      <c r="A100" s="21"/>
      <c r="B100" s="16" t="s">
        <v>67</v>
      </c>
      <c r="C100" s="17" t="s">
        <v>62</v>
      </c>
      <c r="D100" s="17" t="s">
        <v>68</v>
      </c>
      <c r="E100" s="18"/>
      <c r="F100" s="17"/>
      <c r="G100" s="19">
        <f>G101+G112+G124</f>
        <v>40415.76935</v>
      </c>
      <c r="H100" s="19">
        <f>H101+H112+H124</f>
        <v>40073.11492</v>
      </c>
      <c r="I100" s="98">
        <f t="shared" si="6"/>
        <v>99.15217640165991</v>
      </c>
    </row>
    <row r="101" spans="1:12" s="2" customFormat="1" ht="31.5" customHeight="1">
      <c r="A101" s="21"/>
      <c r="B101" s="16" t="s">
        <v>179</v>
      </c>
      <c r="C101" s="17" t="s">
        <v>62</v>
      </c>
      <c r="D101" s="17" t="s">
        <v>68</v>
      </c>
      <c r="E101" s="18" t="s">
        <v>69</v>
      </c>
      <c r="F101" s="26"/>
      <c r="G101" s="19">
        <f>G102</f>
        <v>31901.08537</v>
      </c>
      <c r="H101" s="19">
        <f>H102</f>
        <v>31901.08537</v>
      </c>
      <c r="I101" s="98">
        <f t="shared" si="6"/>
        <v>100</v>
      </c>
      <c r="J101" s="3"/>
      <c r="K101" s="3"/>
      <c r="L101" s="3"/>
    </row>
    <row r="102" spans="1:12" s="2" customFormat="1" ht="15.75" customHeight="1">
      <c r="A102" s="21"/>
      <c r="B102" s="24" t="s">
        <v>130</v>
      </c>
      <c r="C102" s="17" t="s">
        <v>62</v>
      </c>
      <c r="D102" s="17" t="s">
        <v>68</v>
      </c>
      <c r="E102" s="18" t="s">
        <v>70</v>
      </c>
      <c r="F102" s="26"/>
      <c r="G102" s="19">
        <f>G106+G103</f>
        <v>31901.08537</v>
      </c>
      <c r="H102" s="19">
        <f>H106+H103</f>
        <v>31901.08537</v>
      </c>
      <c r="I102" s="98">
        <f t="shared" si="6"/>
        <v>100</v>
      </c>
      <c r="J102" s="3"/>
      <c r="K102" s="3"/>
      <c r="L102" s="3"/>
    </row>
    <row r="103" spans="1:12" s="2" customFormat="1" ht="141.75">
      <c r="A103" s="21"/>
      <c r="B103" s="24" t="s">
        <v>265</v>
      </c>
      <c r="C103" s="17" t="s">
        <v>62</v>
      </c>
      <c r="D103" s="17" t="s">
        <v>68</v>
      </c>
      <c r="E103" s="18" t="s">
        <v>264</v>
      </c>
      <c r="F103" s="26"/>
      <c r="G103" s="19">
        <f>G104+G105</f>
        <v>23580</v>
      </c>
      <c r="H103" s="19">
        <f>H104+H105</f>
        <v>23580</v>
      </c>
      <c r="I103" s="98">
        <f t="shared" si="6"/>
        <v>100</v>
      </c>
      <c r="J103" s="3"/>
      <c r="K103" s="3"/>
      <c r="L103" s="3"/>
    </row>
    <row r="104" spans="1:12" s="2" customFormat="1" ht="15.75" customHeight="1">
      <c r="A104" s="21"/>
      <c r="B104" s="24" t="s">
        <v>22</v>
      </c>
      <c r="C104" s="17" t="s">
        <v>62</v>
      </c>
      <c r="D104" s="17" t="s">
        <v>68</v>
      </c>
      <c r="E104" s="18" t="s">
        <v>264</v>
      </c>
      <c r="F104" s="26" t="s">
        <v>23</v>
      </c>
      <c r="G104" s="19">
        <f>23580-6337.6353-1088.42324</f>
        <v>16153.941459999998</v>
      </c>
      <c r="H104" s="48">
        <v>16153.94146</v>
      </c>
      <c r="I104" s="98">
        <f t="shared" si="6"/>
        <v>100.00000000000003</v>
      </c>
      <c r="J104" s="3"/>
      <c r="K104" s="3"/>
      <c r="L104" s="3"/>
    </row>
    <row r="105" spans="1:12" s="2" customFormat="1" ht="15.75" customHeight="1">
      <c r="A105" s="21"/>
      <c r="B105" s="16" t="s">
        <v>24</v>
      </c>
      <c r="C105" s="17" t="s">
        <v>62</v>
      </c>
      <c r="D105" s="17" t="s">
        <v>68</v>
      </c>
      <c r="E105" s="18" t="s">
        <v>264</v>
      </c>
      <c r="F105" s="26" t="s">
        <v>25</v>
      </c>
      <c r="G105" s="19">
        <f>6337.6353+1088.42324</f>
        <v>7426.05854</v>
      </c>
      <c r="H105" s="48">
        <v>7426.05854</v>
      </c>
      <c r="I105" s="98">
        <f t="shared" si="6"/>
        <v>100</v>
      </c>
      <c r="J105" s="3"/>
      <c r="K105" s="3"/>
      <c r="L105" s="3"/>
    </row>
    <row r="106" spans="1:12" s="2" customFormat="1" ht="157.5">
      <c r="A106" s="21"/>
      <c r="B106" s="24" t="s">
        <v>324</v>
      </c>
      <c r="C106" s="17" t="s">
        <v>62</v>
      </c>
      <c r="D106" s="17" t="s">
        <v>68</v>
      </c>
      <c r="E106" s="18" t="s">
        <v>318</v>
      </c>
      <c r="F106" s="101"/>
      <c r="G106" s="19">
        <f>G107+G109</f>
        <v>8321.08537</v>
      </c>
      <c r="H106" s="19">
        <f>H107+H109</f>
        <v>8321.08537</v>
      </c>
      <c r="I106" s="98">
        <f t="shared" si="6"/>
        <v>100</v>
      </c>
      <c r="J106" s="29"/>
      <c r="K106" s="29"/>
      <c r="L106" s="3"/>
    </row>
    <row r="107" spans="1:12" s="5" customFormat="1" ht="15.75" customHeight="1">
      <c r="A107" s="21"/>
      <c r="B107" s="24" t="s">
        <v>22</v>
      </c>
      <c r="C107" s="17" t="s">
        <v>62</v>
      </c>
      <c r="D107" s="17" t="s">
        <v>68</v>
      </c>
      <c r="E107" s="18" t="s">
        <v>318</v>
      </c>
      <c r="F107" s="26" t="s">
        <v>23</v>
      </c>
      <c r="G107" s="19">
        <f>7951.67494-704.1817-268.25095-49.67238</f>
        <v>6929.56991</v>
      </c>
      <c r="H107" s="52" t="s">
        <v>381</v>
      </c>
      <c r="I107" s="98">
        <f t="shared" si="6"/>
        <v>100</v>
      </c>
      <c r="J107" s="27"/>
      <c r="K107" s="29"/>
      <c r="L107" s="3"/>
    </row>
    <row r="108" spans="1:12" s="5" customFormat="1" ht="63">
      <c r="A108" s="21"/>
      <c r="B108" s="99" t="s">
        <v>287</v>
      </c>
      <c r="C108" s="17"/>
      <c r="D108" s="17"/>
      <c r="E108" s="18"/>
      <c r="F108" s="26"/>
      <c r="G108" s="38">
        <f>6420-2614.56153+377.39597</f>
        <v>4182.83444</v>
      </c>
      <c r="H108" s="102" t="s">
        <v>382</v>
      </c>
      <c r="I108" s="98">
        <f t="shared" si="6"/>
        <v>100</v>
      </c>
      <c r="J108" s="27"/>
      <c r="K108" s="29"/>
      <c r="L108" s="3"/>
    </row>
    <row r="109" spans="1:12" s="5" customFormat="1" ht="15.75">
      <c r="A109" s="21"/>
      <c r="B109" s="16" t="s">
        <v>24</v>
      </c>
      <c r="C109" s="17" t="s">
        <v>62</v>
      </c>
      <c r="D109" s="17" t="s">
        <v>68</v>
      </c>
      <c r="E109" s="18" t="s">
        <v>318</v>
      </c>
      <c r="F109" s="26" t="s">
        <v>25</v>
      </c>
      <c r="G109" s="19">
        <f>704.1817+419.08281+268.25095</f>
        <v>1391.51546</v>
      </c>
      <c r="H109" s="52" t="s">
        <v>383</v>
      </c>
      <c r="I109" s="98">
        <f t="shared" si="6"/>
        <v>100</v>
      </c>
      <c r="J109" s="27"/>
      <c r="K109" s="29"/>
      <c r="L109" s="3"/>
    </row>
    <row r="110" spans="1:12" s="5" customFormat="1" ht="63">
      <c r="A110" s="21"/>
      <c r="B110" s="99" t="s">
        <v>287</v>
      </c>
      <c r="C110" s="17"/>
      <c r="D110" s="17"/>
      <c r="E110" s="18"/>
      <c r="F110" s="26"/>
      <c r="G110" s="38">
        <v>704.1817</v>
      </c>
      <c r="H110" s="38">
        <v>704.1817</v>
      </c>
      <c r="I110" s="98">
        <f t="shared" si="6"/>
        <v>100</v>
      </c>
      <c r="J110" s="27"/>
      <c r="K110" s="29"/>
      <c r="L110" s="3"/>
    </row>
    <row r="111" spans="1:12" s="5" customFormat="1" ht="47.25">
      <c r="A111" s="21"/>
      <c r="B111" s="99" t="s">
        <v>285</v>
      </c>
      <c r="C111" s="17"/>
      <c r="D111" s="17"/>
      <c r="E111" s="18"/>
      <c r="F111" s="26"/>
      <c r="G111" s="38">
        <v>300</v>
      </c>
      <c r="H111" s="38">
        <v>300</v>
      </c>
      <c r="I111" s="98">
        <f t="shared" si="6"/>
        <v>100</v>
      </c>
      <c r="J111" s="27"/>
      <c r="K111" s="29"/>
      <c r="L111" s="3"/>
    </row>
    <row r="112" spans="1:12" s="5" customFormat="1" ht="31.5">
      <c r="A112" s="21"/>
      <c r="B112" s="16" t="s">
        <v>251</v>
      </c>
      <c r="C112" s="17" t="s">
        <v>62</v>
      </c>
      <c r="D112" s="17" t="s">
        <v>68</v>
      </c>
      <c r="E112" s="18" t="s">
        <v>105</v>
      </c>
      <c r="F112" s="26"/>
      <c r="G112" s="19">
        <f>G113</f>
        <v>6771.3292200000005</v>
      </c>
      <c r="H112" s="19">
        <f>H113</f>
        <v>6428.67479</v>
      </c>
      <c r="I112" s="98">
        <f t="shared" si="6"/>
        <v>94.93962826400573</v>
      </c>
      <c r="J112" s="27"/>
      <c r="K112" s="29"/>
      <c r="L112" s="3"/>
    </row>
    <row r="113" spans="1:12" s="5" customFormat="1" ht="31.5">
      <c r="A113" s="21"/>
      <c r="B113" s="16" t="s">
        <v>220</v>
      </c>
      <c r="C113" s="17" t="s">
        <v>62</v>
      </c>
      <c r="D113" s="17" t="s">
        <v>68</v>
      </c>
      <c r="E113" s="18" t="s">
        <v>106</v>
      </c>
      <c r="F113" s="26"/>
      <c r="G113" s="19">
        <f>G114+G116+G120+G122</f>
        <v>6771.3292200000005</v>
      </c>
      <c r="H113" s="19">
        <f>H114+H116+H120+H122</f>
        <v>6428.67479</v>
      </c>
      <c r="I113" s="98">
        <f t="shared" si="6"/>
        <v>94.93962826400573</v>
      </c>
      <c r="J113" s="27"/>
      <c r="K113" s="29"/>
      <c r="L113" s="3"/>
    </row>
    <row r="114" spans="1:12" s="5" customFormat="1" ht="126">
      <c r="A114" s="21"/>
      <c r="B114" s="24" t="s">
        <v>107</v>
      </c>
      <c r="C114" s="17" t="s">
        <v>62</v>
      </c>
      <c r="D114" s="17" t="s">
        <v>68</v>
      </c>
      <c r="E114" s="18" t="s">
        <v>266</v>
      </c>
      <c r="F114" s="101"/>
      <c r="G114" s="19">
        <f>G115</f>
        <v>4570.65046</v>
      </c>
      <c r="H114" s="19" t="str">
        <f>H115</f>
        <v>4570,65046</v>
      </c>
      <c r="I114" s="98">
        <f t="shared" si="6"/>
        <v>100</v>
      </c>
      <c r="J114" s="27"/>
      <c r="K114" s="29"/>
      <c r="L114" s="3"/>
    </row>
    <row r="115" spans="1:12" s="5" customFormat="1" ht="31.5">
      <c r="A115" s="21"/>
      <c r="B115" s="16" t="s">
        <v>22</v>
      </c>
      <c r="C115" s="17" t="s">
        <v>62</v>
      </c>
      <c r="D115" s="17" t="s">
        <v>68</v>
      </c>
      <c r="E115" s="18" t="s">
        <v>266</v>
      </c>
      <c r="F115" s="26" t="s">
        <v>23</v>
      </c>
      <c r="G115" s="19">
        <f>5000-118.13724-311.2123</f>
        <v>4570.65046</v>
      </c>
      <c r="H115" s="52" t="s">
        <v>384</v>
      </c>
      <c r="I115" s="98">
        <f t="shared" si="6"/>
        <v>100</v>
      </c>
      <c r="J115" s="27"/>
      <c r="K115" s="29"/>
      <c r="L115" s="3"/>
    </row>
    <row r="116" spans="1:12" s="5" customFormat="1" ht="141.75">
      <c r="A116" s="21"/>
      <c r="B116" s="24" t="s">
        <v>108</v>
      </c>
      <c r="C116" s="17" t="s">
        <v>62</v>
      </c>
      <c r="D116" s="17" t="s">
        <v>68</v>
      </c>
      <c r="E116" s="18" t="s">
        <v>319</v>
      </c>
      <c r="F116" s="101"/>
      <c r="G116" s="19">
        <f>G117</f>
        <v>2150.67875</v>
      </c>
      <c r="H116" s="19" t="str">
        <f>H117</f>
        <v>1808,02432</v>
      </c>
      <c r="I116" s="98">
        <f t="shared" si="6"/>
        <v>84.06761446822311</v>
      </c>
      <c r="J116" s="27"/>
      <c r="K116" s="29"/>
      <c r="L116" s="3"/>
    </row>
    <row r="117" spans="1:12" s="5" customFormat="1" ht="31.5">
      <c r="A117" s="21"/>
      <c r="B117" s="16" t="s">
        <v>22</v>
      </c>
      <c r="C117" s="17" t="s">
        <v>62</v>
      </c>
      <c r="D117" s="17" t="s">
        <v>68</v>
      </c>
      <c r="E117" s="18" t="s">
        <v>319</v>
      </c>
      <c r="F117" s="26" t="s">
        <v>23</v>
      </c>
      <c r="G117" s="19">
        <f>3241.28-1394.50935+311.2123-7.3042</f>
        <v>2150.67875</v>
      </c>
      <c r="H117" s="52" t="s">
        <v>385</v>
      </c>
      <c r="I117" s="98">
        <f t="shared" si="6"/>
        <v>84.06761446822311</v>
      </c>
      <c r="J117" s="27"/>
      <c r="K117" s="29"/>
      <c r="L117" s="3"/>
    </row>
    <row r="118" spans="1:12" s="5" customFormat="1" ht="47.25">
      <c r="A118" s="21"/>
      <c r="B118" s="99" t="s">
        <v>285</v>
      </c>
      <c r="C118" s="17"/>
      <c r="D118" s="17"/>
      <c r="E118" s="18"/>
      <c r="F118" s="26"/>
      <c r="G118" s="38">
        <v>100</v>
      </c>
      <c r="H118" s="38">
        <v>100</v>
      </c>
      <c r="I118" s="98">
        <f t="shared" si="6"/>
        <v>100</v>
      </c>
      <c r="J118" s="27"/>
      <c r="K118" s="29"/>
      <c r="L118" s="3"/>
    </row>
    <row r="119" spans="1:12" s="5" customFormat="1" ht="63">
      <c r="A119" s="21"/>
      <c r="B119" s="99" t="s">
        <v>287</v>
      </c>
      <c r="C119" s="17"/>
      <c r="D119" s="17"/>
      <c r="E119" s="18"/>
      <c r="F119" s="26"/>
      <c r="G119" s="38">
        <f>3141.28-2678.25654</f>
        <v>463.02346000000034</v>
      </c>
      <c r="H119" s="38">
        <f>3141.28-2678.25654</f>
        <v>463.02346000000034</v>
      </c>
      <c r="I119" s="98">
        <f t="shared" si="6"/>
        <v>100</v>
      </c>
      <c r="J119" s="27"/>
      <c r="K119" s="29"/>
      <c r="L119" s="3"/>
    </row>
    <row r="120" spans="1:12" s="5" customFormat="1" ht="94.5">
      <c r="A120" s="21"/>
      <c r="B120" s="24" t="s">
        <v>345</v>
      </c>
      <c r="C120" s="17" t="s">
        <v>62</v>
      </c>
      <c r="D120" s="17" t="s">
        <v>68</v>
      </c>
      <c r="E120" s="18" t="s">
        <v>347</v>
      </c>
      <c r="F120" s="101"/>
      <c r="G120" s="19">
        <f>G121</f>
        <v>45.45455</v>
      </c>
      <c r="H120" s="19" t="str">
        <f>H121</f>
        <v>45,45455</v>
      </c>
      <c r="I120" s="98">
        <f t="shared" si="6"/>
        <v>100</v>
      </c>
      <c r="J120" s="27"/>
      <c r="K120" s="29"/>
      <c r="L120" s="3"/>
    </row>
    <row r="121" spans="1:12" s="5" customFormat="1" ht="31.5">
      <c r="A121" s="21"/>
      <c r="B121" s="16" t="s">
        <v>22</v>
      </c>
      <c r="C121" s="17" t="s">
        <v>62</v>
      </c>
      <c r="D121" s="17" t="s">
        <v>68</v>
      </c>
      <c r="E121" s="18" t="s">
        <v>347</v>
      </c>
      <c r="F121" s="26" t="s">
        <v>23</v>
      </c>
      <c r="G121" s="19">
        <f>45.45455</f>
        <v>45.45455</v>
      </c>
      <c r="H121" s="52" t="s">
        <v>386</v>
      </c>
      <c r="I121" s="98">
        <f t="shared" si="6"/>
        <v>100</v>
      </c>
      <c r="J121" s="27"/>
      <c r="K121" s="29"/>
      <c r="L121" s="3"/>
    </row>
    <row r="122" spans="1:12" s="5" customFormat="1" ht="110.25">
      <c r="A122" s="21"/>
      <c r="B122" s="24" t="s">
        <v>346</v>
      </c>
      <c r="C122" s="17" t="s">
        <v>62</v>
      </c>
      <c r="D122" s="17" t="s">
        <v>68</v>
      </c>
      <c r="E122" s="18" t="s">
        <v>348</v>
      </c>
      <c r="F122" s="101"/>
      <c r="G122" s="19">
        <f>G123</f>
        <v>4.54546</v>
      </c>
      <c r="H122" s="19" t="str">
        <f>H123</f>
        <v>4,54546</v>
      </c>
      <c r="I122" s="98">
        <f t="shared" si="6"/>
        <v>100</v>
      </c>
      <c r="J122" s="27"/>
      <c r="K122" s="29"/>
      <c r="L122" s="3"/>
    </row>
    <row r="123" spans="1:12" s="5" customFormat="1" ht="31.5">
      <c r="A123" s="21"/>
      <c r="B123" s="16" t="s">
        <v>22</v>
      </c>
      <c r="C123" s="17" t="s">
        <v>62</v>
      </c>
      <c r="D123" s="17" t="s">
        <v>68</v>
      </c>
      <c r="E123" s="18" t="s">
        <v>348</v>
      </c>
      <c r="F123" s="26" t="s">
        <v>23</v>
      </c>
      <c r="G123" s="19">
        <v>4.54546</v>
      </c>
      <c r="H123" s="52" t="s">
        <v>387</v>
      </c>
      <c r="I123" s="98">
        <f t="shared" si="6"/>
        <v>100</v>
      </c>
      <c r="J123" s="27"/>
      <c r="K123" s="29"/>
      <c r="L123" s="3"/>
    </row>
    <row r="124" spans="1:12" s="5" customFormat="1" ht="15.75">
      <c r="A124" s="21"/>
      <c r="B124" s="42" t="s">
        <v>11</v>
      </c>
      <c r="C124" s="19" t="s">
        <v>62</v>
      </c>
      <c r="D124" s="19" t="s">
        <v>68</v>
      </c>
      <c r="E124" s="19" t="s">
        <v>12</v>
      </c>
      <c r="F124" s="19"/>
      <c r="G124" s="19">
        <f>G125</f>
        <v>1743.35476</v>
      </c>
      <c r="H124" s="19" t="str">
        <f>H125</f>
        <v>1743,35476</v>
      </c>
      <c r="I124" s="98">
        <f t="shared" si="6"/>
        <v>100</v>
      </c>
      <c r="J124" s="27"/>
      <c r="K124" s="29"/>
      <c r="L124" s="3"/>
    </row>
    <row r="125" spans="1:12" s="5" customFormat="1" ht="63">
      <c r="A125" s="21"/>
      <c r="B125" s="43" t="s">
        <v>281</v>
      </c>
      <c r="C125" s="19" t="s">
        <v>62</v>
      </c>
      <c r="D125" s="19" t="s">
        <v>68</v>
      </c>
      <c r="E125" s="19" t="s">
        <v>267</v>
      </c>
      <c r="F125" s="19"/>
      <c r="G125" s="19">
        <f>G126</f>
        <v>1743.35476</v>
      </c>
      <c r="H125" s="19" t="str">
        <f>H126</f>
        <v>1743,35476</v>
      </c>
      <c r="I125" s="98">
        <f t="shared" si="6"/>
        <v>100</v>
      </c>
      <c r="J125" s="27"/>
      <c r="K125" s="29"/>
      <c r="L125" s="3"/>
    </row>
    <row r="126" spans="1:12" s="5" customFormat="1" ht="31.5">
      <c r="A126" s="21"/>
      <c r="B126" s="16" t="s">
        <v>22</v>
      </c>
      <c r="C126" s="19" t="s">
        <v>62</v>
      </c>
      <c r="D126" s="19" t="s">
        <v>68</v>
      </c>
      <c r="E126" s="19" t="s">
        <v>267</v>
      </c>
      <c r="F126" s="19" t="s">
        <v>23</v>
      </c>
      <c r="G126" s="19">
        <f>1743.35476</f>
        <v>1743.35476</v>
      </c>
      <c r="H126" s="52" t="s">
        <v>388</v>
      </c>
      <c r="I126" s="98">
        <f t="shared" si="6"/>
        <v>100</v>
      </c>
      <c r="J126" s="27"/>
      <c r="K126" s="29"/>
      <c r="L126" s="3"/>
    </row>
    <row r="127" spans="1:9" s="2" customFormat="1" ht="15.75">
      <c r="A127" s="21"/>
      <c r="B127" s="16" t="s">
        <v>208</v>
      </c>
      <c r="C127" s="17" t="s">
        <v>62</v>
      </c>
      <c r="D127" s="17" t="s">
        <v>207</v>
      </c>
      <c r="E127" s="18"/>
      <c r="F127" s="17"/>
      <c r="G127" s="19">
        <f>G128</f>
        <v>2197.0126</v>
      </c>
      <c r="H127" s="19">
        <f>H128</f>
        <v>2197.0126</v>
      </c>
      <c r="I127" s="98">
        <f t="shared" si="6"/>
        <v>100</v>
      </c>
    </row>
    <row r="128" spans="1:12" s="2" customFormat="1" ht="31.5" customHeight="1">
      <c r="A128" s="21"/>
      <c r="B128" s="16" t="s">
        <v>221</v>
      </c>
      <c r="C128" s="17" t="s">
        <v>62</v>
      </c>
      <c r="D128" s="17" t="s">
        <v>207</v>
      </c>
      <c r="E128" s="18" t="s">
        <v>80</v>
      </c>
      <c r="F128" s="26"/>
      <c r="G128" s="19">
        <f>G129</f>
        <v>2197.0126</v>
      </c>
      <c r="H128" s="19">
        <f>H129</f>
        <v>2197.0126</v>
      </c>
      <c r="I128" s="98">
        <f t="shared" si="6"/>
        <v>100</v>
      </c>
      <c r="J128" s="3"/>
      <c r="K128" s="3"/>
      <c r="L128" s="3"/>
    </row>
    <row r="129" spans="1:9" s="7" customFormat="1" ht="47.25">
      <c r="A129" s="25"/>
      <c r="B129" s="28" t="s">
        <v>210</v>
      </c>
      <c r="C129" s="17" t="s">
        <v>62</v>
      </c>
      <c r="D129" s="17" t="s">
        <v>207</v>
      </c>
      <c r="E129" s="18" t="s">
        <v>81</v>
      </c>
      <c r="F129" s="17"/>
      <c r="G129" s="19">
        <f>G130+G132</f>
        <v>2197.0126</v>
      </c>
      <c r="H129" s="19">
        <f>H130+H132</f>
        <v>2197.0126</v>
      </c>
      <c r="I129" s="98">
        <f t="shared" si="6"/>
        <v>100</v>
      </c>
    </row>
    <row r="130" spans="1:12" s="2" customFormat="1" ht="48.75" customHeight="1">
      <c r="A130" s="21"/>
      <c r="B130" s="24" t="s">
        <v>211</v>
      </c>
      <c r="C130" s="17" t="s">
        <v>62</v>
      </c>
      <c r="D130" s="17" t="s">
        <v>207</v>
      </c>
      <c r="E130" s="18" t="s">
        <v>212</v>
      </c>
      <c r="F130" s="26"/>
      <c r="G130" s="19">
        <f>G131</f>
        <v>2153.07235</v>
      </c>
      <c r="H130" s="19">
        <f>H131</f>
        <v>2153.07235</v>
      </c>
      <c r="I130" s="98">
        <f t="shared" si="6"/>
        <v>100</v>
      </c>
      <c r="J130" s="3"/>
      <c r="K130" s="3"/>
      <c r="L130" s="3"/>
    </row>
    <row r="131" spans="1:12" s="2" customFormat="1" ht="15.75" customHeight="1">
      <c r="A131" s="21"/>
      <c r="B131" s="16" t="s">
        <v>22</v>
      </c>
      <c r="C131" s="17" t="s">
        <v>62</v>
      </c>
      <c r="D131" s="17" t="s">
        <v>207</v>
      </c>
      <c r="E131" s="18" t="s">
        <v>212</v>
      </c>
      <c r="F131" s="26" t="s">
        <v>23</v>
      </c>
      <c r="G131" s="19">
        <f>5000-2254.5-592.42765</f>
        <v>2153.07235</v>
      </c>
      <c r="H131" s="48">
        <v>2153.07235</v>
      </c>
      <c r="I131" s="98">
        <f t="shared" si="6"/>
        <v>100</v>
      </c>
      <c r="J131" s="3"/>
      <c r="K131" s="3"/>
      <c r="L131" s="3"/>
    </row>
    <row r="132" spans="1:12" s="2" customFormat="1" ht="62.25" customHeight="1">
      <c r="A132" s="21"/>
      <c r="B132" s="24" t="s">
        <v>227</v>
      </c>
      <c r="C132" s="17" t="s">
        <v>62</v>
      </c>
      <c r="D132" s="17" t="s">
        <v>207</v>
      </c>
      <c r="E132" s="18" t="s">
        <v>320</v>
      </c>
      <c r="F132" s="101"/>
      <c r="G132" s="19">
        <f>G133</f>
        <v>43.94024999999999</v>
      </c>
      <c r="H132" s="19" t="str">
        <f>H133</f>
        <v>43,94025</v>
      </c>
      <c r="I132" s="98">
        <f t="shared" si="6"/>
        <v>100.00000000000003</v>
      </c>
      <c r="J132" s="29"/>
      <c r="K132" s="29"/>
      <c r="L132" s="3"/>
    </row>
    <row r="133" spans="1:12" s="5" customFormat="1" ht="15.75" customHeight="1">
      <c r="A133" s="21"/>
      <c r="B133" s="24" t="s">
        <v>22</v>
      </c>
      <c r="C133" s="17" t="s">
        <v>62</v>
      </c>
      <c r="D133" s="17" t="s">
        <v>207</v>
      </c>
      <c r="E133" s="18" t="s">
        <v>320</v>
      </c>
      <c r="F133" s="26" t="s">
        <v>23</v>
      </c>
      <c r="G133" s="19">
        <f>102.04082-54.35643-3.74414</f>
        <v>43.94024999999999</v>
      </c>
      <c r="H133" s="52" t="s">
        <v>389</v>
      </c>
      <c r="I133" s="98">
        <f t="shared" si="6"/>
        <v>100.00000000000003</v>
      </c>
      <c r="J133" s="27"/>
      <c r="K133" s="29"/>
      <c r="L133" s="3"/>
    </row>
    <row r="134" spans="1:11" s="2" customFormat="1" ht="15.75">
      <c r="A134" s="21"/>
      <c r="B134" s="16" t="s">
        <v>71</v>
      </c>
      <c r="C134" s="17" t="s">
        <v>62</v>
      </c>
      <c r="D134" s="17" t="s">
        <v>72</v>
      </c>
      <c r="E134" s="18"/>
      <c r="F134" s="26"/>
      <c r="G134" s="19">
        <f>G135+G144+G156+G215</f>
        <v>212180.11899999998</v>
      </c>
      <c r="H134" s="19">
        <f>H135+H144+H156+H215</f>
        <v>210024.28254</v>
      </c>
      <c r="I134" s="98">
        <f t="shared" si="6"/>
        <v>98.98395925586225</v>
      </c>
      <c r="J134" s="30"/>
      <c r="K134" s="30"/>
    </row>
    <row r="135" spans="1:11" s="2" customFormat="1" ht="15.75">
      <c r="A135" s="21"/>
      <c r="B135" s="16" t="s">
        <v>73</v>
      </c>
      <c r="C135" s="17" t="s">
        <v>62</v>
      </c>
      <c r="D135" s="17" t="s">
        <v>74</v>
      </c>
      <c r="E135" s="18"/>
      <c r="F135" s="26"/>
      <c r="G135" s="19">
        <f>G136+G140</f>
        <v>1447.5240000000001</v>
      </c>
      <c r="H135" s="19">
        <f>H136+H140</f>
        <v>1197.7350000000001</v>
      </c>
      <c r="I135" s="98">
        <f t="shared" si="6"/>
        <v>82.74370580384159</v>
      </c>
      <c r="J135" s="30"/>
      <c r="K135" s="30"/>
    </row>
    <row r="136" spans="1:9" s="8" customFormat="1" ht="47.25">
      <c r="A136" s="23"/>
      <c r="B136" s="24" t="s">
        <v>170</v>
      </c>
      <c r="C136" s="17" t="s">
        <v>62</v>
      </c>
      <c r="D136" s="17" t="s">
        <v>74</v>
      </c>
      <c r="E136" s="18" t="s">
        <v>120</v>
      </c>
      <c r="F136" s="17"/>
      <c r="G136" s="19">
        <f aca="true" t="shared" si="7" ref="G136:H138">G137</f>
        <v>1379.227</v>
      </c>
      <c r="H136" s="19">
        <f t="shared" si="7"/>
        <v>1129.438</v>
      </c>
      <c r="I136" s="98">
        <f t="shared" si="6"/>
        <v>81.88920315510066</v>
      </c>
    </row>
    <row r="137" spans="1:9" s="8" customFormat="1" ht="47.25">
      <c r="A137" s="23"/>
      <c r="B137" s="24" t="s">
        <v>171</v>
      </c>
      <c r="C137" s="17" t="s">
        <v>62</v>
      </c>
      <c r="D137" s="17" t="s">
        <v>74</v>
      </c>
      <c r="E137" s="18" t="s">
        <v>174</v>
      </c>
      <c r="F137" s="17"/>
      <c r="G137" s="19">
        <f t="shared" si="7"/>
        <v>1379.227</v>
      </c>
      <c r="H137" s="19">
        <f t="shared" si="7"/>
        <v>1129.438</v>
      </c>
      <c r="I137" s="98">
        <f t="shared" si="6"/>
        <v>81.88920315510066</v>
      </c>
    </row>
    <row r="138" spans="1:9" s="8" customFormat="1" ht="110.25">
      <c r="A138" s="23"/>
      <c r="B138" s="24" t="s">
        <v>295</v>
      </c>
      <c r="C138" s="17" t="s">
        <v>62</v>
      </c>
      <c r="D138" s="17" t="s">
        <v>74</v>
      </c>
      <c r="E138" s="18" t="s">
        <v>294</v>
      </c>
      <c r="F138" s="17"/>
      <c r="G138" s="19">
        <f t="shared" si="7"/>
        <v>1379.227</v>
      </c>
      <c r="H138" s="19">
        <f t="shared" si="7"/>
        <v>1129.438</v>
      </c>
      <c r="I138" s="98">
        <f t="shared" si="6"/>
        <v>81.88920315510066</v>
      </c>
    </row>
    <row r="139" spans="1:9" s="8" customFormat="1" ht="31.5">
      <c r="A139" s="23"/>
      <c r="B139" s="16" t="s">
        <v>22</v>
      </c>
      <c r="C139" s="17" t="s">
        <v>62</v>
      </c>
      <c r="D139" s="17" t="s">
        <v>74</v>
      </c>
      <c r="E139" s="18" t="s">
        <v>294</v>
      </c>
      <c r="F139" s="17" t="s">
        <v>23</v>
      </c>
      <c r="G139" s="19">
        <v>1379.227</v>
      </c>
      <c r="H139" s="48">
        <v>1129.438</v>
      </c>
      <c r="I139" s="98">
        <f t="shared" si="6"/>
        <v>81.88920315510066</v>
      </c>
    </row>
    <row r="140" spans="1:9" s="8" customFormat="1" ht="47.25">
      <c r="A140" s="23"/>
      <c r="B140" s="24" t="s">
        <v>357</v>
      </c>
      <c r="C140" s="17" t="s">
        <v>62</v>
      </c>
      <c r="D140" s="17" t="s">
        <v>74</v>
      </c>
      <c r="E140" s="18" t="s">
        <v>356</v>
      </c>
      <c r="F140" s="17"/>
      <c r="G140" s="19">
        <f aca="true" t="shared" si="8" ref="G140:H142">G141</f>
        <v>68.297</v>
      </c>
      <c r="H140" s="19">
        <f t="shared" si="8"/>
        <v>68.297</v>
      </c>
      <c r="I140" s="98">
        <f t="shared" si="6"/>
        <v>100</v>
      </c>
    </row>
    <row r="141" spans="1:9" s="8" customFormat="1" ht="47.25">
      <c r="A141" s="23"/>
      <c r="B141" s="24" t="s">
        <v>358</v>
      </c>
      <c r="C141" s="17" t="s">
        <v>62</v>
      </c>
      <c r="D141" s="17" t="s">
        <v>74</v>
      </c>
      <c r="E141" s="18" t="s">
        <v>359</v>
      </c>
      <c r="F141" s="17"/>
      <c r="G141" s="19">
        <f t="shared" si="8"/>
        <v>68.297</v>
      </c>
      <c r="H141" s="19">
        <f t="shared" si="8"/>
        <v>68.297</v>
      </c>
      <c r="I141" s="98">
        <f t="shared" si="6"/>
        <v>100</v>
      </c>
    </row>
    <row r="142" spans="1:9" s="8" customFormat="1" ht="126">
      <c r="A142" s="23"/>
      <c r="B142" s="24" t="s">
        <v>355</v>
      </c>
      <c r="C142" s="17" t="s">
        <v>62</v>
      </c>
      <c r="D142" s="17" t="s">
        <v>74</v>
      </c>
      <c r="E142" s="18" t="s">
        <v>360</v>
      </c>
      <c r="F142" s="17"/>
      <c r="G142" s="19">
        <f t="shared" si="8"/>
        <v>68.297</v>
      </c>
      <c r="H142" s="19">
        <f t="shared" si="8"/>
        <v>68.297</v>
      </c>
      <c r="I142" s="98">
        <f aca="true" t="shared" si="9" ref="I142:I205">H142/G142*100</f>
        <v>100</v>
      </c>
    </row>
    <row r="143" spans="1:9" s="8" customFormat="1" ht="31.5">
      <c r="A143" s="23"/>
      <c r="B143" s="16" t="s">
        <v>22</v>
      </c>
      <c r="C143" s="17" t="s">
        <v>62</v>
      </c>
      <c r="D143" s="17" t="s">
        <v>74</v>
      </c>
      <c r="E143" s="18" t="s">
        <v>360</v>
      </c>
      <c r="F143" s="17" t="s">
        <v>23</v>
      </c>
      <c r="G143" s="19">
        <f>100-31.703</f>
        <v>68.297</v>
      </c>
      <c r="H143" s="48">
        <v>68.297</v>
      </c>
      <c r="I143" s="98">
        <f t="shared" si="9"/>
        <v>100</v>
      </c>
    </row>
    <row r="144" spans="1:9" s="10" customFormat="1" ht="15.75">
      <c r="A144" s="25"/>
      <c r="B144" s="16" t="s">
        <v>75</v>
      </c>
      <c r="C144" s="17" t="s">
        <v>62</v>
      </c>
      <c r="D144" s="17" t="s">
        <v>76</v>
      </c>
      <c r="E144" s="18"/>
      <c r="F144" s="17"/>
      <c r="G144" s="19">
        <f>G149+G145</f>
        <v>15985.38552</v>
      </c>
      <c r="H144" s="19">
        <f>H149+H145</f>
        <v>14968.97121</v>
      </c>
      <c r="I144" s="98">
        <f t="shared" si="9"/>
        <v>93.64160277067876</v>
      </c>
    </row>
    <row r="145" spans="1:9" s="10" customFormat="1" ht="63">
      <c r="A145" s="25"/>
      <c r="B145" s="16" t="s">
        <v>221</v>
      </c>
      <c r="C145" s="17" t="s">
        <v>62</v>
      </c>
      <c r="D145" s="17" t="s">
        <v>76</v>
      </c>
      <c r="E145" s="18" t="s">
        <v>80</v>
      </c>
      <c r="F145" s="17"/>
      <c r="G145" s="19">
        <f aca="true" t="shared" si="10" ref="G145:H147">G146</f>
        <v>199.99694</v>
      </c>
      <c r="H145" s="19">
        <f t="shared" si="10"/>
        <v>199.99694</v>
      </c>
      <c r="I145" s="98">
        <f t="shared" si="9"/>
        <v>100</v>
      </c>
    </row>
    <row r="146" spans="1:9" s="10" customFormat="1" ht="47.25">
      <c r="A146" s="25"/>
      <c r="B146" s="28" t="s">
        <v>210</v>
      </c>
      <c r="C146" s="17" t="s">
        <v>62</v>
      </c>
      <c r="D146" s="17" t="s">
        <v>76</v>
      </c>
      <c r="E146" s="18" t="s">
        <v>81</v>
      </c>
      <c r="F146" s="17"/>
      <c r="G146" s="19">
        <f t="shared" si="10"/>
        <v>199.99694</v>
      </c>
      <c r="H146" s="19">
        <f t="shared" si="10"/>
        <v>199.99694</v>
      </c>
      <c r="I146" s="98">
        <f t="shared" si="9"/>
        <v>100</v>
      </c>
    </row>
    <row r="147" spans="1:9" s="10" customFormat="1" ht="141.75">
      <c r="A147" s="25"/>
      <c r="B147" s="24" t="s">
        <v>305</v>
      </c>
      <c r="C147" s="17" t="s">
        <v>62</v>
      </c>
      <c r="D147" s="17" t="s">
        <v>76</v>
      </c>
      <c r="E147" s="18" t="s">
        <v>82</v>
      </c>
      <c r="F147" s="17"/>
      <c r="G147" s="19">
        <f t="shared" si="10"/>
        <v>199.99694</v>
      </c>
      <c r="H147" s="19">
        <f t="shared" si="10"/>
        <v>199.99694</v>
      </c>
      <c r="I147" s="98">
        <f t="shared" si="9"/>
        <v>100</v>
      </c>
    </row>
    <row r="148" spans="1:9" s="10" customFormat="1" ht="31.5">
      <c r="A148" s="25"/>
      <c r="B148" s="16" t="s">
        <v>22</v>
      </c>
      <c r="C148" s="17" t="s">
        <v>62</v>
      </c>
      <c r="D148" s="17" t="s">
        <v>76</v>
      </c>
      <c r="E148" s="18" t="s">
        <v>82</v>
      </c>
      <c r="F148" s="17" t="s">
        <v>23</v>
      </c>
      <c r="G148" s="19">
        <f>500-100-200.00306</f>
        <v>199.99694</v>
      </c>
      <c r="H148" s="48">
        <v>199.99694</v>
      </c>
      <c r="I148" s="98">
        <f t="shared" si="9"/>
        <v>100</v>
      </c>
    </row>
    <row r="149" spans="1:9" s="2" customFormat="1" ht="15.75">
      <c r="A149" s="21"/>
      <c r="B149" s="16" t="s">
        <v>77</v>
      </c>
      <c r="C149" s="17" t="s">
        <v>62</v>
      </c>
      <c r="D149" s="17" t="s">
        <v>76</v>
      </c>
      <c r="E149" s="18" t="s">
        <v>12</v>
      </c>
      <c r="F149" s="17"/>
      <c r="G149" s="19">
        <f>G152+G154+G150</f>
        <v>15785.388579999999</v>
      </c>
      <c r="H149" s="19">
        <f>H152+H154+H150</f>
        <v>14768.97427</v>
      </c>
      <c r="I149" s="98">
        <f t="shared" si="9"/>
        <v>93.56104346213061</v>
      </c>
    </row>
    <row r="150" spans="1:9" s="2" customFormat="1" ht="78.75">
      <c r="A150" s="21"/>
      <c r="B150" s="20" t="s">
        <v>109</v>
      </c>
      <c r="C150" s="17" t="s">
        <v>62</v>
      </c>
      <c r="D150" s="17" t="s">
        <v>76</v>
      </c>
      <c r="E150" s="18" t="s">
        <v>110</v>
      </c>
      <c r="F150" s="17"/>
      <c r="G150" s="19">
        <f>G151</f>
        <v>9865.07158</v>
      </c>
      <c r="H150" s="19">
        <f>H151</f>
        <v>8937.43764</v>
      </c>
      <c r="I150" s="98">
        <f t="shared" si="9"/>
        <v>90.59678449895242</v>
      </c>
    </row>
    <row r="151" spans="1:9" s="2" customFormat="1" ht="15.75">
      <c r="A151" s="21"/>
      <c r="B151" s="16" t="s">
        <v>24</v>
      </c>
      <c r="C151" s="17" t="s">
        <v>62</v>
      </c>
      <c r="D151" s="17" t="s">
        <v>76</v>
      </c>
      <c r="E151" s="18" t="s">
        <v>110</v>
      </c>
      <c r="F151" s="17" t="s">
        <v>25</v>
      </c>
      <c r="G151" s="19">
        <v>9865.07158</v>
      </c>
      <c r="H151" s="48">
        <v>8937.43764</v>
      </c>
      <c r="I151" s="98">
        <f t="shared" si="9"/>
        <v>90.59678449895242</v>
      </c>
    </row>
    <row r="152" spans="1:9" s="3" customFormat="1" ht="94.5">
      <c r="A152" s="21"/>
      <c r="B152" s="20" t="s">
        <v>78</v>
      </c>
      <c r="C152" s="17" t="s">
        <v>62</v>
      </c>
      <c r="D152" s="17" t="s">
        <v>76</v>
      </c>
      <c r="E152" s="18" t="s">
        <v>79</v>
      </c>
      <c r="F152" s="17"/>
      <c r="G152" s="19">
        <f>G153</f>
        <v>5270.317</v>
      </c>
      <c r="H152" s="19">
        <f>H153</f>
        <v>5270.317</v>
      </c>
      <c r="I152" s="98">
        <f t="shared" si="9"/>
        <v>100</v>
      </c>
    </row>
    <row r="153" spans="1:9" s="3" customFormat="1" ht="15.75">
      <c r="A153" s="21"/>
      <c r="B153" s="16" t="s">
        <v>24</v>
      </c>
      <c r="C153" s="17" t="s">
        <v>62</v>
      </c>
      <c r="D153" s="17" t="s">
        <v>76</v>
      </c>
      <c r="E153" s="18" t="s">
        <v>79</v>
      </c>
      <c r="F153" s="17" t="s">
        <v>25</v>
      </c>
      <c r="G153" s="19">
        <f>7900-2629.683</f>
        <v>5270.317</v>
      </c>
      <c r="H153" s="48">
        <v>5270.317</v>
      </c>
      <c r="I153" s="98">
        <f t="shared" si="9"/>
        <v>100</v>
      </c>
    </row>
    <row r="154" spans="1:9" s="3" customFormat="1" ht="78.75">
      <c r="A154" s="21"/>
      <c r="B154" s="20" t="s">
        <v>218</v>
      </c>
      <c r="C154" s="17" t="s">
        <v>62</v>
      </c>
      <c r="D154" s="17" t="s">
        <v>76</v>
      </c>
      <c r="E154" s="18" t="s">
        <v>219</v>
      </c>
      <c r="F154" s="17"/>
      <c r="G154" s="19">
        <f>G155</f>
        <v>650</v>
      </c>
      <c r="H154" s="19">
        <f>H155</f>
        <v>561.21963</v>
      </c>
      <c r="I154" s="98">
        <f t="shared" si="9"/>
        <v>86.34148153846155</v>
      </c>
    </row>
    <row r="155" spans="1:9" s="3" customFormat="1" ht="15.75">
      <c r="A155" s="21"/>
      <c r="B155" s="16" t="s">
        <v>24</v>
      </c>
      <c r="C155" s="17" t="s">
        <v>62</v>
      </c>
      <c r="D155" s="17" t="s">
        <v>76</v>
      </c>
      <c r="E155" s="18" t="s">
        <v>219</v>
      </c>
      <c r="F155" s="17" t="s">
        <v>25</v>
      </c>
      <c r="G155" s="19">
        <f>1000-350</f>
        <v>650</v>
      </c>
      <c r="H155" s="48">
        <v>561.21963</v>
      </c>
      <c r="I155" s="98">
        <f t="shared" si="9"/>
        <v>86.34148153846155</v>
      </c>
    </row>
    <row r="156" spans="1:9" s="10" customFormat="1" ht="15.75">
      <c r="A156" s="25"/>
      <c r="B156" s="16" t="s">
        <v>83</v>
      </c>
      <c r="C156" s="17" t="s">
        <v>62</v>
      </c>
      <c r="D156" s="17" t="s">
        <v>84</v>
      </c>
      <c r="E156" s="18"/>
      <c r="F156" s="17"/>
      <c r="G156" s="19">
        <f>G157+G180+G185</f>
        <v>156341.71996999998</v>
      </c>
      <c r="H156" s="19">
        <f>H157+H180+H185</f>
        <v>155702.30969999998</v>
      </c>
      <c r="I156" s="98">
        <f t="shared" si="9"/>
        <v>99.591017503119</v>
      </c>
    </row>
    <row r="157" spans="1:9" s="10" customFormat="1" ht="47.25">
      <c r="A157" s="25"/>
      <c r="B157" s="16" t="s">
        <v>179</v>
      </c>
      <c r="C157" s="17" t="s">
        <v>62</v>
      </c>
      <c r="D157" s="17" t="s">
        <v>84</v>
      </c>
      <c r="E157" s="18" t="s">
        <v>69</v>
      </c>
      <c r="F157" s="17"/>
      <c r="G157" s="19">
        <f>G158+G175</f>
        <v>20841.613349999996</v>
      </c>
      <c r="H157" s="19">
        <f>H158+H175</f>
        <v>20759.53832</v>
      </c>
      <c r="I157" s="98">
        <f t="shared" si="9"/>
        <v>99.60619636962991</v>
      </c>
    </row>
    <row r="158" spans="1:9" s="10" customFormat="1" ht="31.5">
      <c r="A158" s="25"/>
      <c r="B158" s="16" t="s">
        <v>85</v>
      </c>
      <c r="C158" s="17" t="s">
        <v>62</v>
      </c>
      <c r="D158" s="17" t="s">
        <v>84</v>
      </c>
      <c r="E158" s="18" t="s">
        <v>86</v>
      </c>
      <c r="F158" s="17"/>
      <c r="G158" s="19">
        <f>G159+G162</f>
        <v>16885.156949999997</v>
      </c>
      <c r="H158" s="19">
        <f>H159+H162</f>
        <v>16885.15695</v>
      </c>
      <c r="I158" s="98">
        <f t="shared" si="9"/>
        <v>100.00000000000003</v>
      </c>
    </row>
    <row r="159" spans="1:9" s="10" customFormat="1" ht="110.25">
      <c r="A159" s="25"/>
      <c r="B159" s="24" t="s">
        <v>344</v>
      </c>
      <c r="C159" s="17" t="s">
        <v>62</v>
      </c>
      <c r="D159" s="17" t="s">
        <v>84</v>
      </c>
      <c r="E159" s="18" t="s">
        <v>268</v>
      </c>
      <c r="F159" s="17"/>
      <c r="G159" s="19">
        <f>G160</f>
        <v>4334.24532</v>
      </c>
      <c r="H159" s="19">
        <f>H160</f>
        <v>4334.24532</v>
      </c>
      <c r="I159" s="98">
        <f t="shared" si="9"/>
        <v>100</v>
      </c>
    </row>
    <row r="160" spans="1:9" s="10" customFormat="1" ht="31.5">
      <c r="A160" s="25"/>
      <c r="B160" s="16" t="s">
        <v>22</v>
      </c>
      <c r="C160" s="17" t="s">
        <v>62</v>
      </c>
      <c r="D160" s="17" t="s">
        <v>84</v>
      </c>
      <c r="E160" s="18" t="s">
        <v>268</v>
      </c>
      <c r="F160" s="17" t="s">
        <v>23</v>
      </c>
      <c r="G160" s="19">
        <f>G161</f>
        <v>4334.24532</v>
      </c>
      <c r="H160" s="48">
        <v>4334.24532</v>
      </c>
      <c r="I160" s="98">
        <f t="shared" si="9"/>
        <v>100</v>
      </c>
    </row>
    <row r="161" spans="1:9" s="10" customFormat="1" ht="47.25">
      <c r="A161" s="25"/>
      <c r="B161" s="99" t="s">
        <v>299</v>
      </c>
      <c r="C161" s="39"/>
      <c r="D161" s="39"/>
      <c r="E161" s="40"/>
      <c r="F161" s="39"/>
      <c r="G161" s="38">
        <f>5100-765.75468</f>
        <v>4334.24532</v>
      </c>
      <c r="H161" s="38">
        <f>5100-765.75468</f>
        <v>4334.24532</v>
      </c>
      <c r="I161" s="98">
        <f t="shared" si="9"/>
        <v>100</v>
      </c>
    </row>
    <row r="162" spans="1:9" s="10" customFormat="1" ht="78.75">
      <c r="A162" s="25"/>
      <c r="B162" s="24" t="s">
        <v>216</v>
      </c>
      <c r="C162" s="17" t="s">
        <v>62</v>
      </c>
      <c r="D162" s="17" t="s">
        <v>84</v>
      </c>
      <c r="E162" s="18" t="s">
        <v>313</v>
      </c>
      <c r="F162" s="17"/>
      <c r="G162" s="19">
        <f>G167+G171+G163</f>
        <v>12550.911629999999</v>
      </c>
      <c r="H162" s="19">
        <f>H167+H171+H163</f>
        <v>12550.91163</v>
      </c>
      <c r="I162" s="98">
        <f t="shared" si="9"/>
        <v>100.00000000000003</v>
      </c>
    </row>
    <row r="163" spans="1:9" s="10" customFormat="1" ht="31.5">
      <c r="A163" s="25"/>
      <c r="B163" s="16" t="s">
        <v>22</v>
      </c>
      <c r="C163" s="17" t="s">
        <v>62</v>
      </c>
      <c r="D163" s="17" t="s">
        <v>84</v>
      </c>
      <c r="E163" s="18" t="s">
        <v>313</v>
      </c>
      <c r="F163" s="17" t="s">
        <v>23</v>
      </c>
      <c r="G163" s="19">
        <f>G164+G165+G166</f>
        <v>5883.584629999999</v>
      </c>
      <c r="H163" s="48">
        <v>5883.58463</v>
      </c>
      <c r="I163" s="98">
        <f t="shared" si="9"/>
        <v>100.00000000000003</v>
      </c>
    </row>
    <row r="164" spans="1:9" s="10" customFormat="1" ht="15.75">
      <c r="A164" s="25"/>
      <c r="B164" s="100" t="s">
        <v>229</v>
      </c>
      <c r="C164" s="17"/>
      <c r="D164" s="17"/>
      <c r="E164" s="18"/>
      <c r="F164" s="17"/>
      <c r="G164" s="38">
        <v>5453.22539</v>
      </c>
      <c r="H164" s="38">
        <v>5453.22539</v>
      </c>
      <c r="I164" s="98">
        <f t="shared" si="9"/>
        <v>100</v>
      </c>
    </row>
    <row r="165" spans="1:9" s="10" customFormat="1" ht="15.75">
      <c r="A165" s="25"/>
      <c r="B165" s="100" t="s">
        <v>195</v>
      </c>
      <c r="C165" s="17"/>
      <c r="D165" s="17"/>
      <c r="E165" s="18"/>
      <c r="F165" s="17"/>
      <c r="G165" s="38">
        <v>391.23567</v>
      </c>
      <c r="H165" s="38">
        <v>391.23567</v>
      </c>
      <c r="I165" s="98">
        <f t="shared" si="9"/>
        <v>100</v>
      </c>
    </row>
    <row r="166" spans="1:9" s="10" customFormat="1" ht="15.75">
      <c r="A166" s="25"/>
      <c r="B166" s="100" t="s">
        <v>194</v>
      </c>
      <c r="C166" s="17"/>
      <c r="D166" s="17"/>
      <c r="E166" s="18"/>
      <c r="F166" s="17"/>
      <c r="G166" s="38">
        <v>39.12357</v>
      </c>
      <c r="H166" s="38">
        <v>39.12357</v>
      </c>
      <c r="I166" s="98">
        <f t="shared" si="9"/>
        <v>100</v>
      </c>
    </row>
    <row r="167" spans="1:9" s="10" customFormat="1" ht="47.25">
      <c r="A167" s="25"/>
      <c r="B167" s="16" t="s">
        <v>63</v>
      </c>
      <c r="C167" s="17" t="s">
        <v>62</v>
      </c>
      <c r="D167" s="17" t="s">
        <v>84</v>
      </c>
      <c r="E167" s="18" t="s">
        <v>313</v>
      </c>
      <c r="F167" s="17" t="s">
        <v>64</v>
      </c>
      <c r="G167" s="19">
        <f>G169+G170+G168</f>
        <v>228</v>
      </c>
      <c r="H167" s="48">
        <v>228</v>
      </c>
      <c r="I167" s="98">
        <f t="shared" si="9"/>
        <v>100</v>
      </c>
    </row>
    <row r="168" spans="1:9" s="10" customFormat="1" ht="15.75">
      <c r="A168" s="25"/>
      <c r="B168" s="100" t="s">
        <v>229</v>
      </c>
      <c r="C168" s="17"/>
      <c r="D168" s="17"/>
      <c r="E168" s="18"/>
      <c r="F168" s="17"/>
      <c r="G168" s="38">
        <f>67.56367+92.68542+51.07367+0.00001</f>
        <v>211.32277</v>
      </c>
      <c r="H168" s="38">
        <f>67.56367+92.68542+51.07367+0.00001</f>
        <v>211.32277</v>
      </c>
      <c r="I168" s="98">
        <f t="shared" si="9"/>
        <v>100</v>
      </c>
    </row>
    <row r="169" spans="1:9" s="10" customFormat="1" ht="15.75">
      <c r="A169" s="25"/>
      <c r="B169" s="100" t="s">
        <v>195</v>
      </c>
      <c r="C169" s="17"/>
      <c r="D169" s="17"/>
      <c r="E169" s="18"/>
      <c r="F169" s="17"/>
      <c r="G169" s="38">
        <f>4.8473+6.64961+3.66421</f>
        <v>15.16112</v>
      </c>
      <c r="H169" s="38">
        <f>4.8473+6.64961+3.66421</f>
        <v>15.16112</v>
      </c>
      <c r="I169" s="98">
        <f t="shared" si="9"/>
        <v>100</v>
      </c>
    </row>
    <row r="170" spans="1:9" s="10" customFormat="1" ht="15.75">
      <c r="A170" s="25"/>
      <c r="B170" s="100" t="s">
        <v>194</v>
      </c>
      <c r="C170" s="17"/>
      <c r="D170" s="17"/>
      <c r="E170" s="18"/>
      <c r="F170" s="17"/>
      <c r="G170" s="38">
        <f>0.48473+0.66496+0.36643-0.00001</f>
        <v>1.51611</v>
      </c>
      <c r="H170" s="38">
        <f>0.48473+0.66496+0.36643-0.00001</f>
        <v>1.51611</v>
      </c>
      <c r="I170" s="98">
        <f t="shared" si="9"/>
        <v>100</v>
      </c>
    </row>
    <row r="171" spans="1:9" s="10" customFormat="1" ht="15.75">
      <c r="A171" s="25"/>
      <c r="B171" s="16" t="s">
        <v>24</v>
      </c>
      <c r="C171" s="17" t="s">
        <v>62</v>
      </c>
      <c r="D171" s="17" t="s">
        <v>84</v>
      </c>
      <c r="E171" s="18" t="s">
        <v>313</v>
      </c>
      <c r="F171" s="17" t="s">
        <v>25</v>
      </c>
      <c r="G171" s="19">
        <f>G173+G174+G172</f>
        <v>6439.327</v>
      </c>
      <c r="H171" s="48">
        <v>6439.327</v>
      </c>
      <c r="I171" s="98">
        <f t="shared" si="9"/>
        <v>100</v>
      </c>
    </row>
    <row r="172" spans="1:9" s="10" customFormat="1" ht="15.75">
      <c r="A172" s="25"/>
      <c r="B172" s="100" t="s">
        <v>229</v>
      </c>
      <c r="C172" s="17"/>
      <c r="D172" s="17"/>
      <c r="E172" s="18"/>
      <c r="F172" s="17"/>
      <c r="G172" s="38">
        <f>6554.54312+2866.42233+2051.65119-5504.29908</f>
        <v>5968.31756</v>
      </c>
      <c r="H172" s="38">
        <f>6554.54312+2866.42233+2051.65119-5504.29908</f>
        <v>5968.31756</v>
      </c>
      <c r="I172" s="98">
        <f t="shared" si="9"/>
        <v>100</v>
      </c>
    </row>
    <row r="173" spans="1:9" s="10" customFormat="1" ht="15.75">
      <c r="A173" s="25"/>
      <c r="B173" s="100" t="s">
        <v>195</v>
      </c>
      <c r="C173" s="17"/>
      <c r="D173" s="17"/>
      <c r="E173" s="18"/>
      <c r="F173" s="17"/>
      <c r="G173" s="38">
        <f>470.2485+205.64832+147.19346-394.89988</f>
        <v>428.1903999999999</v>
      </c>
      <c r="H173" s="38">
        <f>470.2485+205.64832+147.19346-394.89988</f>
        <v>428.1903999999999</v>
      </c>
      <c r="I173" s="98">
        <f t="shared" si="9"/>
        <v>100</v>
      </c>
    </row>
    <row r="174" spans="1:9" s="10" customFormat="1" ht="15.75">
      <c r="A174" s="25"/>
      <c r="B174" s="100" t="s">
        <v>194</v>
      </c>
      <c r="C174" s="17"/>
      <c r="D174" s="17"/>
      <c r="E174" s="18"/>
      <c r="F174" s="17"/>
      <c r="G174" s="38">
        <f>47.02485+20.56483+14.71935-39.48998-0.00001</f>
        <v>42.81904</v>
      </c>
      <c r="H174" s="38">
        <f>47.02485+20.56483+14.71935-39.48998-0.00001</f>
        <v>42.81904</v>
      </c>
      <c r="I174" s="98">
        <f t="shared" si="9"/>
        <v>100</v>
      </c>
    </row>
    <row r="175" spans="1:9" s="10" customFormat="1" ht="31.5">
      <c r="A175" s="25"/>
      <c r="B175" s="24" t="s">
        <v>130</v>
      </c>
      <c r="C175" s="17" t="s">
        <v>62</v>
      </c>
      <c r="D175" s="17" t="s">
        <v>84</v>
      </c>
      <c r="E175" s="18" t="s">
        <v>70</v>
      </c>
      <c r="F175" s="103"/>
      <c r="G175" s="19">
        <f>G176</f>
        <v>3956.4564</v>
      </c>
      <c r="H175" s="19" t="str">
        <f>H176</f>
        <v>3874,38137</v>
      </c>
      <c r="I175" s="98">
        <f t="shared" si="9"/>
        <v>97.92554190664151</v>
      </c>
    </row>
    <row r="176" spans="1:9" s="10" customFormat="1" ht="141.75">
      <c r="A176" s="25"/>
      <c r="B176" s="24" t="s">
        <v>240</v>
      </c>
      <c r="C176" s="17" t="s">
        <v>62</v>
      </c>
      <c r="D176" s="17" t="s">
        <v>84</v>
      </c>
      <c r="E176" s="18" t="s">
        <v>241</v>
      </c>
      <c r="F176" s="103"/>
      <c r="G176" s="19">
        <f>G177</f>
        <v>3956.4564</v>
      </c>
      <c r="H176" s="19" t="str">
        <f>H177</f>
        <v>3874,38137</v>
      </c>
      <c r="I176" s="98">
        <f t="shared" si="9"/>
        <v>97.92554190664151</v>
      </c>
    </row>
    <row r="177" spans="1:10" s="10" customFormat="1" ht="31.5">
      <c r="A177" s="25"/>
      <c r="B177" s="16" t="s">
        <v>22</v>
      </c>
      <c r="C177" s="17" t="s">
        <v>62</v>
      </c>
      <c r="D177" s="17" t="s">
        <v>84</v>
      </c>
      <c r="E177" s="18" t="s">
        <v>241</v>
      </c>
      <c r="F177" s="17" t="s">
        <v>23</v>
      </c>
      <c r="G177" s="19">
        <f>865.697+1500+650+67+900-26.2406</f>
        <v>3956.4564</v>
      </c>
      <c r="H177" s="52" t="s">
        <v>390</v>
      </c>
      <c r="I177" s="98">
        <f t="shared" si="9"/>
        <v>97.92554190664151</v>
      </c>
      <c r="J177" s="27"/>
    </row>
    <row r="178" spans="1:10" s="10" customFormat="1" ht="63">
      <c r="A178" s="25"/>
      <c r="B178" s="99" t="s">
        <v>287</v>
      </c>
      <c r="C178" s="39"/>
      <c r="D178" s="39"/>
      <c r="E178" s="40"/>
      <c r="F178" s="39"/>
      <c r="G178" s="38">
        <f>1308.70237-377.39597</f>
        <v>931.3063999999999</v>
      </c>
      <c r="H178" s="38">
        <f>1308.70237-377.39597</f>
        <v>931.3063999999999</v>
      </c>
      <c r="I178" s="98">
        <f t="shared" si="9"/>
        <v>100</v>
      </c>
      <c r="J178" s="27"/>
    </row>
    <row r="179" spans="1:10" s="10" customFormat="1" ht="47.25">
      <c r="A179" s="25"/>
      <c r="B179" s="99" t="s">
        <v>285</v>
      </c>
      <c r="C179" s="39"/>
      <c r="D179" s="39"/>
      <c r="E179" s="40"/>
      <c r="F179" s="39"/>
      <c r="G179" s="38">
        <f>650+900</f>
        <v>1550</v>
      </c>
      <c r="H179" s="38">
        <f>650+900</f>
        <v>1550</v>
      </c>
      <c r="I179" s="98">
        <f t="shared" si="9"/>
        <v>100</v>
      </c>
      <c r="J179" s="27"/>
    </row>
    <row r="180" spans="1:10" s="10" customFormat="1" ht="47.25">
      <c r="A180" s="25"/>
      <c r="B180" s="16" t="s">
        <v>222</v>
      </c>
      <c r="C180" s="17" t="s">
        <v>62</v>
      </c>
      <c r="D180" s="17" t="s">
        <v>84</v>
      </c>
      <c r="E180" s="18" t="s">
        <v>209</v>
      </c>
      <c r="F180" s="17"/>
      <c r="G180" s="19">
        <f>G181+G183</f>
        <v>2360.2290000000003</v>
      </c>
      <c r="H180" s="19">
        <f>H181+H183</f>
        <v>2360.2290000000003</v>
      </c>
      <c r="I180" s="98">
        <f t="shared" si="9"/>
        <v>100</v>
      </c>
      <c r="J180" s="27"/>
    </row>
    <row r="181" spans="1:10" s="10" customFormat="1" ht="78.75">
      <c r="A181" s="25"/>
      <c r="B181" s="28" t="s">
        <v>361</v>
      </c>
      <c r="C181" s="17" t="s">
        <v>62</v>
      </c>
      <c r="D181" s="17" t="s">
        <v>84</v>
      </c>
      <c r="E181" s="18" t="s">
        <v>269</v>
      </c>
      <c r="F181" s="17"/>
      <c r="G181" s="19">
        <f>G182</f>
        <v>2123.8254</v>
      </c>
      <c r="H181" s="19">
        <f>H182</f>
        <v>2123.8254</v>
      </c>
      <c r="I181" s="98">
        <f t="shared" si="9"/>
        <v>100</v>
      </c>
      <c r="J181" s="27"/>
    </row>
    <row r="182" spans="1:10" s="10" customFormat="1" ht="31.5">
      <c r="A182" s="25"/>
      <c r="B182" s="16" t="s">
        <v>22</v>
      </c>
      <c r="C182" s="17" t="s">
        <v>62</v>
      </c>
      <c r="D182" s="17" t="s">
        <v>84</v>
      </c>
      <c r="E182" s="18" t="s">
        <v>269</v>
      </c>
      <c r="F182" s="17" t="s">
        <v>23</v>
      </c>
      <c r="G182" s="19">
        <v>2123.8254</v>
      </c>
      <c r="H182" s="19">
        <v>2123.8254</v>
      </c>
      <c r="I182" s="98">
        <f t="shared" si="9"/>
        <v>100</v>
      </c>
      <c r="J182" s="27"/>
    </row>
    <row r="183" spans="1:10" s="10" customFormat="1" ht="94.5">
      <c r="A183" s="25"/>
      <c r="B183" s="28" t="s">
        <v>362</v>
      </c>
      <c r="C183" s="17" t="s">
        <v>62</v>
      </c>
      <c r="D183" s="17" t="s">
        <v>84</v>
      </c>
      <c r="E183" s="18" t="s">
        <v>321</v>
      </c>
      <c r="F183" s="17"/>
      <c r="G183" s="19">
        <f>G184</f>
        <v>236.4036</v>
      </c>
      <c r="H183" s="19">
        <f>H184</f>
        <v>236.4036</v>
      </c>
      <c r="I183" s="98">
        <f t="shared" si="9"/>
        <v>100</v>
      </c>
      <c r="J183" s="27"/>
    </row>
    <row r="184" spans="1:10" s="10" customFormat="1" ht="31.5">
      <c r="A184" s="25"/>
      <c r="B184" s="16" t="s">
        <v>22</v>
      </c>
      <c r="C184" s="17" t="s">
        <v>62</v>
      </c>
      <c r="D184" s="17" t="s">
        <v>84</v>
      </c>
      <c r="E184" s="18" t="s">
        <v>321</v>
      </c>
      <c r="F184" s="17" t="s">
        <v>23</v>
      </c>
      <c r="G184" s="19">
        <f>99.47+136.51006+0.00054+0.423</f>
        <v>236.4036</v>
      </c>
      <c r="H184" s="51">
        <v>236.4036</v>
      </c>
      <c r="I184" s="98">
        <f t="shared" si="9"/>
        <v>100</v>
      </c>
      <c r="J184" s="27"/>
    </row>
    <row r="185" spans="1:9" s="10" customFormat="1" ht="15.75">
      <c r="A185" s="25"/>
      <c r="B185" s="16" t="s">
        <v>11</v>
      </c>
      <c r="C185" s="17" t="s">
        <v>62</v>
      </c>
      <c r="D185" s="17" t="s">
        <v>84</v>
      </c>
      <c r="E185" s="18" t="s">
        <v>12</v>
      </c>
      <c r="F185" s="17"/>
      <c r="G185" s="19">
        <f>G186+G190+G192+G194+G196</f>
        <v>133139.87761999998</v>
      </c>
      <c r="H185" s="19">
        <f>H186+H190+H192+H194+H196</f>
        <v>132582.54238</v>
      </c>
      <c r="I185" s="98">
        <f t="shared" si="9"/>
        <v>99.58139120302431</v>
      </c>
    </row>
    <row r="186" spans="1:9" s="10" customFormat="1" ht="47.25">
      <c r="A186" s="25"/>
      <c r="B186" s="16" t="s">
        <v>223</v>
      </c>
      <c r="C186" s="17" t="s">
        <v>62</v>
      </c>
      <c r="D186" s="17" t="s">
        <v>84</v>
      </c>
      <c r="E186" s="18" t="s">
        <v>89</v>
      </c>
      <c r="F186" s="17"/>
      <c r="G186" s="19">
        <f>G187</f>
        <v>11616.92406</v>
      </c>
      <c r="H186" s="19">
        <f>H187</f>
        <v>11200.09564</v>
      </c>
      <c r="I186" s="98">
        <f t="shared" si="9"/>
        <v>96.41188650414576</v>
      </c>
    </row>
    <row r="187" spans="1:9" s="10" customFormat="1" ht="31.5">
      <c r="A187" s="25"/>
      <c r="B187" s="16" t="s">
        <v>22</v>
      </c>
      <c r="C187" s="17" t="s">
        <v>62</v>
      </c>
      <c r="D187" s="17" t="s">
        <v>84</v>
      </c>
      <c r="E187" s="18" t="s">
        <v>89</v>
      </c>
      <c r="F187" s="17" t="s">
        <v>23</v>
      </c>
      <c r="G187" s="19">
        <v>11616.92406</v>
      </c>
      <c r="H187" s="48">
        <v>11200.09564</v>
      </c>
      <c r="I187" s="98">
        <f t="shared" si="9"/>
        <v>96.41188650414576</v>
      </c>
    </row>
    <row r="188" spans="1:9" s="10" customFormat="1" ht="31.5">
      <c r="A188" s="25"/>
      <c r="B188" s="99" t="s">
        <v>300</v>
      </c>
      <c r="C188" s="39"/>
      <c r="D188" s="39"/>
      <c r="E188" s="40"/>
      <c r="F188" s="39"/>
      <c r="G188" s="38">
        <v>3517.786</v>
      </c>
      <c r="H188" s="38">
        <v>3517.786</v>
      </c>
      <c r="I188" s="98">
        <f t="shared" si="9"/>
        <v>100</v>
      </c>
    </row>
    <row r="189" spans="1:9" s="10" customFormat="1" ht="31.5">
      <c r="A189" s="25"/>
      <c r="B189" s="99" t="s">
        <v>301</v>
      </c>
      <c r="C189" s="39"/>
      <c r="D189" s="39"/>
      <c r="E189" s="40"/>
      <c r="F189" s="39"/>
      <c r="G189" s="38">
        <v>416</v>
      </c>
      <c r="H189" s="38">
        <v>416</v>
      </c>
      <c r="I189" s="98">
        <f t="shared" si="9"/>
        <v>100</v>
      </c>
    </row>
    <row r="190" spans="1:9" s="10" customFormat="1" ht="31.5">
      <c r="A190" s="25"/>
      <c r="B190" s="16" t="s">
        <v>90</v>
      </c>
      <c r="C190" s="17" t="s">
        <v>62</v>
      </c>
      <c r="D190" s="17" t="s">
        <v>84</v>
      </c>
      <c r="E190" s="18" t="s">
        <v>91</v>
      </c>
      <c r="F190" s="17"/>
      <c r="G190" s="19">
        <f>G191</f>
        <v>2729.4076</v>
      </c>
      <c r="H190" s="19">
        <f>H191</f>
        <v>2588.90078</v>
      </c>
      <c r="I190" s="98">
        <f t="shared" si="9"/>
        <v>94.85211296399994</v>
      </c>
    </row>
    <row r="191" spans="1:9" s="10" customFormat="1" ht="31.5">
      <c r="A191" s="25"/>
      <c r="B191" s="16" t="s">
        <v>22</v>
      </c>
      <c r="C191" s="17" t="s">
        <v>62</v>
      </c>
      <c r="D191" s="17" t="s">
        <v>84</v>
      </c>
      <c r="E191" s="18" t="s">
        <v>91</v>
      </c>
      <c r="F191" s="17" t="s">
        <v>23</v>
      </c>
      <c r="G191" s="19">
        <f>2729.5-0.0924</f>
        <v>2729.4076</v>
      </c>
      <c r="H191" s="53">
        <v>2588.90078</v>
      </c>
      <c r="I191" s="98">
        <f t="shared" si="9"/>
        <v>94.85211296399994</v>
      </c>
    </row>
    <row r="192" spans="1:9" s="10" customFormat="1" ht="31.5">
      <c r="A192" s="25"/>
      <c r="B192" s="16" t="s">
        <v>92</v>
      </c>
      <c r="C192" s="17" t="s">
        <v>62</v>
      </c>
      <c r="D192" s="17" t="s">
        <v>84</v>
      </c>
      <c r="E192" s="18" t="s">
        <v>93</v>
      </c>
      <c r="F192" s="17"/>
      <c r="G192" s="19">
        <f>G193</f>
        <v>226.65570000000002</v>
      </c>
      <c r="H192" s="19">
        <f>H193</f>
        <v>226.6557</v>
      </c>
      <c r="I192" s="98">
        <f t="shared" si="9"/>
        <v>99.99999999999999</v>
      </c>
    </row>
    <row r="193" spans="1:9" s="10" customFormat="1" ht="31.5">
      <c r="A193" s="25"/>
      <c r="B193" s="16" t="s">
        <v>22</v>
      </c>
      <c r="C193" s="17" t="s">
        <v>62</v>
      </c>
      <c r="D193" s="17" t="s">
        <v>84</v>
      </c>
      <c r="E193" s="18" t="s">
        <v>93</v>
      </c>
      <c r="F193" s="17" t="s">
        <v>23</v>
      </c>
      <c r="G193" s="19">
        <f>672.13-105.49065-100-239.98365</f>
        <v>226.65570000000002</v>
      </c>
      <c r="H193" s="54">
        <v>226.6557</v>
      </c>
      <c r="I193" s="98">
        <f t="shared" si="9"/>
        <v>99.99999999999999</v>
      </c>
    </row>
    <row r="194" spans="1:9" s="10" customFormat="1" ht="31.5">
      <c r="A194" s="25"/>
      <c r="B194" s="16" t="s">
        <v>94</v>
      </c>
      <c r="C194" s="17" t="s">
        <v>62</v>
      </c>
      <c r="D194" s="17" t="s">
        <v>84</v>
      </c>
      <c r="E194" s="18" t="s">
        <v>95</v>
      </c>
      <c r="F194" s="17"/>
      <c r="G194" s="19">
        <f>G195</f>
        <v>297.50433999999996</v>
      </c>
      <c r="H194" s="19">
        <f>H195</f>
        <v>297.50434</v>
      </c>
      <c r="I194" s="98">
        <f t="shared" si="9"/>
        <v>100.00000000000003</v>
      </c>
    </row>
    <row r="195" spans="1:9" s="10" customFormat="1" ht="31.5">
      <c r="A195" s="25"/>
      <c r="B195" s="16" t="s">
        <v>22</v>
      </c>
      <c r="C195" s="17" t="s">
        <v>62</v>
      </c>
      <c r="D195" s="17" t="s">
        <v>84</v>
      </c>
      <c r="E195" s="18" t="s">
        <v>95</v>
      </c>
      <c r="F195" s="17" t="s">
        <v>23</v>
      </c>
      <c r="G195" s="19">
        <f>24+421.38-147.87566</f>
        <v>297.50433999999996</v>
      </c>
      <c r="H195" s="53">
        <v>297.50434</v>
      </c>
      <c r="I195" s="98">
        <f t="shared" si="9"/>
        <v>100.00000000000003</v>
      </c>
    </row>
    <row r="196" spans="1:9" s="10" customFormat="1" ht="63">
      <c r="A196" s="21"/>
      <c r="B196" s="16" t="s">
        <v>87</v>
      </c>
      <c r="C196" s="17" t="s">
        <v>62</v>
      </c>
      <c r="D196" s="17" t="s">
        <v>84</v>
      </c>
      <c r="E196" s="18" t="s">
        <v>88</v>
      </c>
      <c r="F196" s="17"/>
      <c r="G196" s="19">
        <f>G197</f>
        <v>118269.38591999999</v>
      </c>
      <c r="H196" s="19">
        <f>H197</f>
        <v>118269.38592</v>
      </c>
      <c r="I196" s="98">
        <f t="shared" si="9"/>
        <v>100.00000000000003</v>
      </c>
    </row>
    <row r="197" spans="1:9" s="2" customFormat="1" ht="47.25">
      <c r="A197" s="21"/>
      <c r="B197" s="16" t="s">
        <v>63</v>
      </c>
      <c r="C197" s="17" t="s">
        <v>62</v>
      </c>
      <c r="D197" s="17" t="s">
        <v>84</v>
      </c>
      <c r="E197" s="18" t="s">
        <v>88</v>
      </c>
      <c r="F197" s="17" t="s">
        <v>64</v>
      </c>
      <c r="G197" s="19">
        <f>86410.61262+50+4172.61459+1024.257+12118.13724+5292.84697+100+10285-1184.0825</f>
        <v>118269.38591999999</v>
      </c>
      <c r="H197" s="48">
        <v>118269.38592</v>
      </c>
      <c r="I197" s="98">
        <f t="shared" si="9"/>
        <v>100.00000000000003</v>
      </c>
    </row>
    <row r="198" spans="1:9" s="2" customFormat="1" ht="47.25">
      <c r="A198" s="21"/>
      <c r="B198" s="99" t="s">
        <v>378</v>
      </c>
      <c r="C198" s="17"/>
      <c r="D198" s="17"/>
      <c r="E198" s="18"/>
      <c r="F198" s="17"/>
      <c r="G198" s="38">
        <f>50+24.257</f>
        <v>74.257</v>
      </c>
      <c r="H198" s="38">
        <f>50+24.257</f>
        <v>74.257</v>
      </c>
      <c r="I198" s="98">
        <f t="shared" si="9"/>
        <v>100</v>
      </c>
    </row>
    <row r="199" spans="1:9" s="2" customFormat="1" ht="31.5">
      <c r="A199" s="21"/>
      <c r="B199" s="104" t="s">
        <v>297</v>
      </c>
      <c r="C199" s="17"/>
      <c r="D199" s="17"/>
      <c r="E199" s="18"/>
      <c r="F199" s="17"/>
      <c r="G199" s="38">
        <v>100</v>
      </c>
      <c r="H199" s="38">
        <v>100</v>
      </c>
      <c r="I199" s="98">
        <f t="shared" si="9"/>
        <v>100</v>
      </c>
    </row>
    <row r="200" spans="1:9" s="2" customFormat="1" ht="31.5">
      <c r="A200" s="21"/>
      <c r="B200" s="104" t="s">
        <v>368</v>
      </c>
      <c r="C200" s="17"/>
      <c r="D200" s="17"/>
      <c r="E200" s="18"/>
      <c r="F200" s="17"/>
      <c r="G200" s="38">
        <v>10000</v>
      </c>
      <c r="H200" s="38">
        <v>10000</v>
      </c>
      <c r="I200" s="98">
        <f t="shared" si="9"/>
        <v>100</v>
      </c>
    </row>
    <row r="201" spans="1:9" s="2" customFormat="1" ht="94.5">
      <c r="A201" s="21"/>
      <c r="B201" s="105" t="s">
        <v>296</v>
      </c>
      <c r="C201" s="17"/>
      <c r="D201" s="17"/>
      <c r="E201" s="18"/>
      <c r="F201" s="17"/>
      <c r="G201" s="38">
        <f>10785.11983-676.77337-1184.0825</f>
        <v>8924.263959999998</v>
      </c>
      <c r="H201" s="38">
        <f>10785.11983-676.77337-1184.0825</f>
        <v>8924.263959999998</v>
      </c>
      <c r="I201" s="98">
        <f t="shared" si="9"/>
        <v>100</v>
      </c>
    </row>
    <row r="202" spans="1:9" s="2" customFormat="1" ht="47.25">
      <c r="A202" s="21"/>
      <c r="B202" s="99" t="s">
        <v>299</v>
      </c>
      <c r="C202" s="17"/>
      <c r="D202" s="17"/>
      <c r="E202" s="18"/>
      <c r="F202" s="17"/>
      <c r="G202" s="38">
        <f>10000-1184.0825</f>
        <v>8815.9175</v>
      </c>
      <c r="H202" s="38">
        <f>10000-1184.0825</f>
        <v>8815.9175</v>
      </c>
      <c r="I202" s="98">
        <f t="shared" si="9"/>
        <v>100</v>
      </c>
    </row>
    <row r="203" spans="1:9" s="11" customFormat="1" ht="126">
      <c r="A203" s="34"/>
      <c r="B203" s="100" t="s">
        <v>349</v>
      </c>
      <c r="C203" s="39"/>
      <c r="D203" s="39"/>
      <c r="E203" s="40"/>
      <c r="F203" s="39"/>
      <c r="G203" s="38">
        <f>2567.59778+1000+12000-1231.99479-639.49592</f>
        <v>13696.10707</v>
      </c>
      <c r="H203" s="38">
        <f>2567.59778+1000+12000-1231.99479-639.49592</f>
        <v>13696.10707</v>
      </c>
      <c r="I203" s="98">
        <f t="shared" si="9"/>
        <v>100</v>
      </c>
    </row>
    <row r="204" spans="1:9" s="11" customFormat="1" ht="47.25">
      <c r="A204" s="34"/>
      <c r="B204" s="104" t="s">
        <v>350</v>
      </c>
      <c r="C204" s="39"/>
      <c r="D204" s="39"/>
      <c r="E204" s="40"/>
      <c r="F204" s="39"/>
      <c r="G204" s="38">
        <v>1000</v>
      </c>
      <c r="H204" s="38">
        <v>1000</v>
      </c>
      <c r="I204" s="98">
        <f t="shared" si="9"/>
        <v>100</v>
      </c>
    </row>
    <row r="205" spans="1:9" s="7" customFormat="1" ht="189">
      <c r="A205" s="25"/>
      <c r="B205" s="100" t="s">
        <v>217</v>
      </c>
      <c r="C205" s="39"/>
      <c r="D205" s="39"/>
      <c r="E205" s="40"/>
      <c r="F205" s="39"/>
      <c r="G205" s="38">
        <f>800-116.79614</f>
        <v>683.20386</v>
      </c>
      <c r="H205" s="38">
        <f>800-116.79614</f>
        <v>683.20386</v>
      </c>
      <c r="I205" s="98">
        <f t="shared" si="9"/>
        <v>100</v>
      </c>
    </row>
    <row r="206" spans="1:9" s="7" customFormat="1" ht="173.25">
      <c r="A206" s="25"/>
      <c r="B206" s="100" t="s">
        <v>228</v>
      </c>
      <c r="C206" s="39"/>
      <c r="D206" s="39"/>
      <c r="E206" s="40"/>
      <c r="F206" s="39"/>
      <c r="G206" s="38">
        <f>G207+G208</f>
        <v>464.965</v>
      </c>
      <c r="H206" s="38">
        <f>H207+H208</f>
        <v>464.965</v>
      </c>
      <c r="I206" s="98">
        <f aca="true" t="shared" si="11" ref="I206:I269">H206/G206*100</f>
        <v>100</v>
      </c>
    </row>
    <row r="207" spans="1:9" s="11" customFormat="1" ht="15.75">
      <c r="A207" s="34"/>
      <c r="B207" s="100" t="s">
        <v>195</v>
      </c>
      <c r="C207" s="39"/>
      <c r="D207" s="39"/>
      <c r="E207" s="40"/>
      <c r="F207" s="39"/>
      <c r="G207" s="38">
        <f>269.729+194.771</f>
        <v>464.5</v>
      </c>
      <c r="H207" s="38">
        <f>269.729+194.771</f>
        <v>464.5</v>
      </c>
      <c r="I207" s="98">
        <f t="shared" si="11"/>
        <v>100</v>
      </c>
    </row>
    <row r="208" spans="1:9" s="11" customFormat="1" ht="15.75">
      <c r="A208" s="34"/>
      <c r="B208" s="100" t="s">
        <v>194</v>
      </c>
      <c r="C208" s="39"/>
      <c r="D208" s="39"/>
      <c r="E208" s="40"/>
      <c r="F208" s="39"/>
      <c r="G208" s="38">
        <v>0.465</v>
      </c>
      <c r="H208" s="38">
        <v>0.465</v>
      </c>
      <c r="I208" s="98">
        <f t="shared" si="11"/>
        <v>100</v>
      </c>
    </row>
    <row r="209" spans="1:9" s="11" customFormat="1" ht="141.75">
      <c r="A209" s="34"/>
      <c r="B209" s="100" t="s">
        <v>304</v>
      </c>
      <c r="C209" s="39"/>
      <c r="D209" s="39"/>
      <c r="E209" s="40"/>
      <c r="F209" s="39"/>
      <c r="G209" s="38">
        <f>G210+G211</f>
        <v>723.1881900000001</v>
      </c>
      <c r="H209" s="38">
        <f>H210+H211</f>
        <v>723.1881900000001</v>
      </c>
      <c r="I209" s="98">
        <f t="shared" si="11"/>
        <v>100</v>
      </c>
    </row>
    <row r="210" spans="1:9" s="11" customFormat="1" ht="15.75">
      <c r="A210" s="34"/>
      <c r="B210" s="100" t="s">
        <v>195</v>
      </c>
      <c r="C210" s="39"/>
      <c r="D210" s="39"/>
      <c r="E210" s="40"/>
      <c r="F210" s="39"/>
      <c r="G210" s="38">
        <v>622.565</v>
      </c>
      <c r="H210" s="38">
        <v>622.565</v>
      </c>
      <c r="I210" s="98">
        <f t="shared" si="11"/>
        <v>100</v>
      </c>
    </row>
    <row r="211" spans="1:9" s="11" customFormat="1" ht="15.75">
      <c r="A211" s="34"/>
      <c r="B211" s="100" t="s">
        <v>194</v>
      </c>
      <c r="C211" s="39"/>
      <c r="D211" s="39"/>
      <c r="E211" s="40"/>
      <c r="F211" s="39"/>
      <c r="G211" s="38">
        <f>0.62319+100</f>
        <v>100.62319</v>
      </c>
      <c r="H211" s="38">
        <f>0.62319+100</f>
        <v>100.62319</v>
      </c>
      <c r="I211" s="98">
        <f t="shared" si="11"/>
        <v>100</v>
      </c>
    </row>
    <row r="212" spans="1:9" s="11" customFormat="1" ht="126">
      <c r="A212" s="34"/>
      <c r="B212" s="100" t="s">
        <v>352</v>
      </c>
      <c r="C212" s="39"/>
      <c r="D212" s="39"/>
      <c r="E212" s="40"/>
      <c r="F212" s="39"/>
      <c r="G212" s="38">
        <f>G213+G214</f>
        <v>1118.1372000000001</v>
      </c>
      <c r="H212" s="38">
        <f>H213+H214</f>
        <v>1118.1372000000001</v>
      </c>
      <c r="I212" s="98">
        <f t="shared" si="11"/>
        <v>100</v>
      </c>
    </row>
    <row r="213" spans="1:9" s="11" customFormat="1" ht="15.75">
      <c r="A213" s="34"/>
      <c r="B213" s="100" t="s">
        <v>195</v>
      </c>
      <c r="C213" s="39"/>
      <c r="D213" s="39"/>
      <c r="E213" s="40"/>
      <c r="F213" s="39"/>
      <c r="G213" s="38">
        <f>118.13724+311.2123</f>
        <v>429.34954000000005</v>
      </c>
      <c r="H213" s="38">
        <f>118.13724+311.2123</f>
        <v>429.34954000000005</v>
      </c>
      <c r="I213" s="98">
        <f t="shared" si="11"/>
        <v>100</v>
      </c>
    </row>
    <row r="214" spans="1:9" s="11" customFormat="1" ht="15.75">
      <c r="A214" s="34"/>
      <c r="B214" s="100" t="s">
        <v>194</v>
      </c>
      <c r="C214" s="39"/>
      <c r="D214" s="39"/>
      <c r="E214" s="40"/>
      <c r="F214" s="39"/>
      <c r="G214" s="38">
        <v>688.78766</v>
      </c>
      <c r="H214" s="38">
        <v>688.78766</v>
      </c>
      <c r="I214" s="98">
        <f t="shared" si="11"/>
        <v>100</v>
      </c>
    </row>
    <row r="215" spans="1:9" s="2" customFormat="1" ht="31.5">
      <c r="A215" s="21"/>
      <c r="B215" s="16" t="s">
        <v>96</v>
      </c>
      <c r="C215" s="17" t="s">
        <v>62</v>
      </c>
      <c r="D215" s="17" t="s">
        <v>97</v>
      </c>
      <c r="E215" s="18"/>
      <c r="F215" s="17"/>
      <c r="G215" s="19">
        <f>G216+G224</f>
        <v>38405.48951000001</v>
      </c>
      <c r="H215" s="19">
        <f>H216+H224</f>
        <v>38155.26663</v>
      </c>
      <c r="I215" s="98">
        <f t="shared" si="11"/>
        <v>99.34847105663148</v>
      </c>
    </row>
    <row r="216" spans="1:12" s="8" customFormat="1" ht="47.25" customHeight="1">
      <c r="A216" s="21"/>
      <c r="B216" s="16" t="s">
        <v>221</v>
      </c>
      <c r="C216" s="17" t="s">
        <v>62</v>
      </c>
      <c r="D216" s="17" t="s">
        <v>97</v>
      </c>
      <c r="E216" s="18" t="s">
        <v>80</v>
      </c>
      <c r="F216" s="17"/>
      <c r="G216" s="19">
        <f>G217</f>
        <v>7368.656939999999</v>
      </c>
      <c r="H216" s="19">
        <f>H217</f>
        <v>7276.18461</v>
      </c>
      <c r="I216" s="98">
        <f t="shared" si="11"/>
        <v>98.74505855337054</v>
      </c>
      <c r="J216" s="3"/>
      <c r="K216" s="3"/>
      <c r="L216" s="3"/>
    </row>
    <row r="217" spans="1:12" s="8" customFormat="1" ht="31.5" customHeight="1">
      <c r="A217" s="21"/>
      <c r="B217" s="16" t="s">
        <v>210</v>
      </c>
      <c r="C217" s="17" t="s">
        <v>62</v>
      </c>
      <c r="D217" s="17" t="s">
        <v>97</v>
      </c>
      <c r="E217" s="18" t="s">
        <v>81</v>
      </c>
      <c r="F217" s="17"/>
      <c r="G217" s="19">
        <f>G218+G220+G222</f>
        <v>7368.656939999999</v>
      </c>
      <c r="H217" s="19">
        <f>H218+H220+H222</f>
        <v>7276.18461</v>
      </c>
      <c r="I217" s="98">
        <f t="shared" si="11"/>
        <v>98.74505855337054</v>
      </c>
      <c r="J217" s="3"/>
      <c r="K217" s="3"/>
      <c r="L217" s="3"/>
    </row>
    <row r="218" spans="1:12" s="8" customFormat="1" ht="47.25" customHeight="1">
      <c r="A218" s="21"/>
      <c r="B218" s="28" t="s">
        <v>214</v>
      </c>
      <c r="C218" s="17" t="s">
        <v>62</v>
      </c>
      <c r="D218" s="17" t="s">
        <v>97</v>
      </c>
      <c r="E218" s="18" t="s">
        <v>213</v>
      </c>
      <c r="F218" s="17"/>
      <c r="G218" s="19">
        <f>G219</f>
        <v>6664.799999999999</v>
      </c>
      <c r="H218" s="19">
        <f>H219</f>
        <v>6664.8</v>
      </c>
      <c r="I218" s="98">
        <f t="shared" si="11"/>
        <v>100.00000000000003</v>
      </c>
      <c r="J218" s="3"/>
      <c r="K218" s="3"/>
      <c r="L218" s="3"/>
    </row>
    <row r="219" spans="1:12" s="8" customFormat="1" ht="15.75" customHeight="1">
      <c r="A219" s="21"/>
      <c r="B219" s="16" t="s">
        <v>22</v>
      </c>
      <c r="C219" s="17" t="s">
        <v>62</v>
      </c>
      <c r="D219" s="17" t="s">
        <v>97</v>
      </c>
      <c r="E219" s="18" t="s">
        <v>213</v>
      </c>
      <c r="F219" s="17" t="s">
        <v>23</v>
      </c>
      <c r="G219" s="19">
        <f>2226.23+4438.57</f>
        <v>6664.799999999999</v>
      </c>
      <c r="H219" s="48">
        <v>6664.8</v>
      </c>
      <c r="I219" s="98">
        <f t="shared" si="11"/>
        <v>100.00000000000003</v>
      </c>
      <c r="J219" s="3"/>
      <c r="K219" s="3"/>
      <c r="L219" s="3"/>
    </row>
    <row r="220" spans="1:12" s="8" customFormat="1" ht="47.25" customHeight="1">
      <c r="A220" s="21"/>
      <c r="B220" s="28" t="s">
        <v>98</v>
      </c>
      <c r="C220" s="17" t="s">
        <v>62</v>
      </c>
      <c r="D220" s="17" t="s">
        <v>97</v>
      </c>
      <c r="E220" s="18" t="s">
        <v>322</v>
      </c>
      <c r="F220" s="17"/>
      <c r="G220" s="19">
        <f>G221</f>
        <v>611.38461</v>
      </c>
      <c r="H220" s="19">
        <f>H221</f>
        <v>611.38461</v>
      </c>
      <c r="I220" s="98">
        <f t="shared" si="11"/>
        <v>100</v>
      </c>
      <c r="J220" s="3"/>
      <c r="K220" s="3"/>
      <c r="L220" s="3"/>
    </row>
    <row r="221" spans="1:12" s="8" customFormat="1" ht="15.75" customHeight="1">
      <c r="A221" s="21"/>
      <c r="B221" s="16" t="s">
        <v>22</v>
      </c>
      <c r="C221" s="17" t="s">
        <v>62</v>
      </c>
      <c r="D221" s="17" t="s">
        <v>97</v>
      </c>
      <c r="E221" s="18" t="s">
        <v>322</v>
      </c>
      <c r="F221" s="17" t="s">
        <v>23</v>
      </c>
      <c r="G221" s="19">
        <f>145.43327+100+327.53073+38.42061</f>
        <v>611.38461</v>
      </c>
      <c r="H221" s="48">
        <v>611.38461</v>
      </c>
      <c r="I221" s="98">
        <f t="shared" si="11"/>
        <v>100</v>
      </c>
      <c r="J221" s="3"/>
      <c r="K221" s="3"/>
      <c r="L221" s="3"/>
    </row>
    <row r="222" spans="1:12" s="8" customFormat="1" ht="152.25" customHeight="1">
      <c r="A222" s="21"/>
      <c r="B222" s="28" t="s">
        <v>363</v>
      </c>
      <c r="C222" s="17" t="s">
        <v>62</v>
      </c>
      <c r="D222" s="17" t="s">
        <v>97</v>
      </c>
      <c r="E222" s="18" t="s">
        <v>215</v>
      </c>
      <c r="F222" s="17"/>
      <c r="G222" s="19">
        <f>G223</f>
        <v>92.47233</v>
      </c>
      <c r="H222" s="19">
        <f>H223</f>
        <v>0</v>
      </c>
      <c r="I222" s="98">
        <f t="shared" si="11"/>
        <v>0</v>
      </c>
      <c r="J222" s="3"/>
      <c r="K222" s="3"/>
      <c r="L222" s="3"/>
    </row>
    <row r="223" spans="1:12" s="8" customFormat="1" ht="15.75" customHeight="1">
      <c r="A223" s="21"/>
      <c r="B223" s="16" t="s">
        <v>24</v>
      </c>
      <c r="C223" s="17" t="s">
        <v>62</v>
      </c>
      <c r="D223" s="17" t="s">
        <v>97</v>
      </c>
      <c r="E223" s="18" t="s">
        <v>215</v>
      </c>
      <c r="F223" s="17" t="s">
        <v>25</v>
      </c>
      <c r="G223" s="19">
        <f>220-127.52767</f>
        <v>92.47233</v>
      </c>
      <c r="H223" s="48">
        <v>0</v>
      </c>
      <c r="I223" s="98">
        <f t="shared" si="11"/>
        <v>0</v>
      </c>
      <c r="J223" s="3"/>
      <c r="K223" s="3"/>
      <c r="L223" s="3"/>
    </row>
    <row r="224" spans="1:9" s="2" customFormat="1" ht="15.75">
      <c r="A224" s="21"/>
      <c r="B224" s="16" t="s">
        <v>11</v>
      </c>
      <c r="C224" s="17" t="s">
        <v>62</v>
      </c>
      <c r="D224" s="17" t="s">
        <v>97</v>
      </c>
      <c r="E224" s="18" t="s">
        <v>12</v>
      </c>
      <c r="F224" s="17"/>
      <c r="G224" s="19">
        <f>G225+G229</f>
        <v>31036.83257000001</v>
      </c>
      <c r="H224" s="19">
        <f>H225+H229</f>
        <v>30879.082019999998</v>
      </c>
      <c r="I224" s="98">
        <f t="shared" si="11"/>
        <v>99.49173115637937</v>
      </c>
    </row>
    <row r="225" spans="1:9" s="7" customFormat="1" ht="78.75">
      <c r="A225" s="25"/>
      <c r="B225" s="24" t="s">
        <v>20</v>
      </c>
      <c r="C225" s="17" t="s">
        <v>62</v>
      </c>
      <c r="D225" s="17" t="s">
        <v>97</v>
      </c>
      <c r="E225" s="18" t="s">
        <v>21</v>
      </c>
      <c r="F225" s="17" t="s">
        <v>19</v>
      </c>
      <c r="G225" s="19">
        <f>G226+G227+G228</f>
        <v>19205.782430000007</v>
      </c>
      <c r="H225" s="19">
        <f>H226+H227+H228</f>
        <v>19078.275849999998</v>
      </c>
      <c r="I225" s="98">
        <f t="shared" si="11"/>
        <v>99.33610317379812</v>
      </c>
    </row>
    <row r="226" spans="1:9" s="7" customFormat="1" ht="78.75">
      <c r="A226" s="25"/>
      <c r="B226" s="16" t="s">
        <v>15</v>
      </c>
      <c r="C226" s="17" t="s">
        <v>62</v>
      </c>
      <c r="D226" s="17" t="s">
        <v>97</v>
      </c>
      <c r="E226" s="18" t="s">
        <v>21</v>
      </c>
      <c r="F226" s="17" t="s">
        <v>16</v>
      </c>
      <c r="G226" s="19">
        <f>(6847.65224+211.184+1962.44288)+(3866.0596+0+1162.65266)+1108.716+652.08827+214.81495+136.81476+41.31804+795.54214+240.25673-775.797+497.23546+150.16511+61.96436+147.28343+44.47959-30</f>
        <v>17334.873220000005</v>
      </c>
      <c r="H226" s="48">
        <v>17235.20269</v>
      </c>
      <c r="I226" s="98">
        <f t="shared" si="11"/>
        <v>99.42502879175942</v>
      </c>
    </row>
    <row r="227" spans="1:9" s="7" customFormat="1" ht="31.5">
      <c r="A227" s="25"/>
      <c r="B227" s="16" t="s">
        <v>22</v>
      </c>
      <c r="C227" s="17" t="s">
        <v>62</v>
      </c>
      <c r="D227" s="17" t="s">
        <v>97</v>
      </c>
      <c r="E227" s="18" t="s">
        <v>21</v>
      </c>
      <c r="F227" s="17" t="s">
        <v>23</v>
      </c>
      <c r="G227" s="19">
        <f>462.612+700+985-758+240+50</f>
        <v>1679.612</v>
      </c>
      <c r="H227" s="48">
        <v>1658.87893</v>
      </c>
      <c r="I227" s="98">
        <f t="shared" si="11"/>
        <v>98.76560360368943</v>
      </c>
    </row>
    <row r="228" spans="1:9" s="3" customFormat="1" ht="15.75">
      <c r="A228" s="21"/>
      <c r="B228" s="16" t="s">
        <v>24</v>
      </c>
      <c r="C228" s="17" t="s">
        <v>62</v>
      </c>
      <c r="D228" s="17" t="s">
        <v>97</v>
      </c>
      <c r="E228" s="18" t="s">
        <v>21</v>
      </c>
      <c r="F228" s="17" t="s">
        <v>25</v>
      </c>
      <c r="G228" s="19">
        <f>50+389.217+64-20-61.96436-50-50-91.17316-38.78227</f>
        <v>191.29721</v>
      </c>
      <c r="H228" s="48">
        <v>184.19423</v>
      </c>
      <c r="I228" s="98">
        <f t="shared" si="11"/>
        <v>96.28694009703538</v>
      </c>
    </row>
    <row r="229" spans="1:9" s="3" customFormat="1" ht="78.75">
      <c r="A229" s="21"/>
      <c r="B229" s="31" t="s">
        <v>101</v>
      </c>
      <c r="C229" s="17" t="s">
        <v>62</v>
      </c>
      <c r="D229" s="17" t="s">
        <v>97</v>
      </c>
      <c r="E229" s="18" t="s">
        <v>102</v>
      </c>
      <c r="F229" s="17"/>
      <c r="G229" s="19">
        <f>G230+G231+G232</f>
        <v>11831.050140000003</v>
      </c>
      <c r="H229" s="19">
        <f>H230+H231+H232</f>
        <v>11800.80617</v>
      </c>
      <c r="I229" s="98">
        <f t="shared" si="11"/>
        <v>99.74436783174681</v>
      </c>
    </row>
    <row r="230" spans="1:9" s="3" customFormat="1" ht="78.75">
      <c r="A230" s="21"/>
      <c r="B230" s="16" t="s">
        <v>15</v>
      </c>
      <c r="C230" s="17" t="s">
        <v>62</v>
      </c>
      <c r="D230" s="17" t="s">
        <v>97</v>
      </c>
      <c r="E230" s="18" t="s">
        <v>102</v>
      </c>
      <c r="F230" s="17" t="s">
        <v>16</v>
      </c>
      <c r="G230" s="19">
        <f>7955.9064+580.756+2357.31253+158.388+98.34468+29.70009+653.09582+197.23494-317.03121+439.80069-147.28343-44.47959-137.06339-69.9645</f>
        <v>11754.717030000003</v>
      </c>
      <c r="H230" s="48">
        <v>11724.47306</v>
      </c>
      <c r="I230" s="98">
        <f t="shared" si="11"/>
        <v>99.74270780042755</v>
      </c>
    </row>
    <row r="231" spans="1:9" s="3" customFormat="1" ht="31.5">
      <c r="A231" s="21"/>
      <c r="B231" s="16" t="s">
        <v>22</v>
      </c>
      <c r="C231" s="17" t="s">
        <v>62</v>
      </c>
      <c r="D231" s="17" t="s">
        <v>97</v>
      </c>
      <c r="E231" s="18" t="s">
        <v>102</v>
      </c>
      <c r="F231" s="17" t="s">
        <v>23</v>
      </c>
      <c r="G231" s="19">
        <f>776.0872-700-0.00043</f>
        <v>76.08677000000006</v>
      </c>
      <c r="H231" s="48">
        <v>76.08677</v>
      </c>
      <c r="I231" s="98">
        <f t="shared" si="11"/>
        <v>99.99999999999993</v>
      </c>
    </row>
    <row r="232" spans="1:9" s="3" customFormat="1" ht="15.75">
      <c r="A232" s="21"/>
      <c r="B232" s="16" t="s">
        <v>24</v>
      </c>
      <c r="C232" s="17" t="s">
        <v>62</v>
      </c>
      <c r="D232" s="17" t="s">
        <v>97</v>
      </c>
      <c r="E232" s="18" t="s">
        <v>102</v>
      </c>
      <c r="F232" s="17" t="s">
        <v>25</v>
      </c>
      <c r="G232" s="19">
        <f>50+60-70-20-19.75366</f>
        <v>0.24634</v>
      </c>
      <c r="H232" s="48">
        <v>0.24634</v>
      </c>
      <c r="I232" s="98">
        <f t="shared" si="11"/>
        <v>100</v>
      </c>
    </row>
    <row r="233" spans="1:9" s="3" customFormat="1" ht="15.75">
      <c r="A233" s="21"/>
      <c r="B233" s="16" t="s">
        <v>280</v>
      </c>
      <c r="C233" s="17" t="s">
        <v>62</v>
      </c>
      <c r="D233" s="17" t="s">
        <v>168</v>
      </c>
      <c r="E233" s="18"/>
      <c r="F233" s="17"/>
      <c r="G233" s="19">
        <f aca="true" t="shared" si="12" ref="G233:H235">G234</f>
        <v>1791.66667</v>
      </c>
      <c r="H233" s="19">
        <f t="shared" si="12"/>
        <v>1752.60394</v>
      </c>
      <c r="I233" s="98">
        <f t="shared" si="11"/>
        <v>97.81975460870743</v>
      </c>
    </row>
    <row r="234" spans="1:9" s="3" customFormat="1" ht="31.5">
      <c r="A234" s="21"/>
      <c r="B234" s="16" t="s">
        <v>274</v>
      </c>
      <c r="C234" s="17" t="s">
        <v>62</v>
      </c>
      <c r="D234" s="17" t="s">
        <v>270</v>
      </c>
      <c r="E234" s="18"/>
      <c r="F234" s="17"/>
      <c r="G234" s="19">
        <f t="shared" si="12"/>
        <v>1791.66667</v>
      </c>
      <c r="H234" s="19">
        <f t="shared" si="12"/>
        <v>1752.60394</v>
      </c>
      <c r="I234" s="98">
        <f t="shared" si="11"/>
        <v>97.81975460870743</v>
      </c>
    </row>
    <row r="235" spans="1:9" s="3" customFormat="1" ht="42" customHeight="1">
      <c r="A235" s="21"/>
      <c r="B235" s="16" t="s">
        <v>275</v>
      </c>
      <c r="C235" s="17" t="s">
        <v>62</v>
      </c>
      <c r="D235" s="17" t="s">
        <v>270</v>
      </c>
      <c r="E235" s="18" t="s">
        <v>271</v>
      </c>
      <c r="F235" s="17"/>
      <c r="G235" s="19">
        <f t="shared" si="12"/>
        <v>1791.66667</v>
      </c>
      <c r="H235" s="19">
        <f t="shared" si="12"/>
        <v>1752.60394</v>
      </c>
      <c r="I235" s="98">
        <f t="shared" si="11"/>
        <v>97.81975460870743</v>
      </c>
    </row>
    <row r="236" spans="1:9" s="3" customFormat="1" ht="47.25">
      <c r="A236" s="21"/>
      <c r="B236" s="16" t="s">
        <v>276</v>
      </c>
      <c r="C236" s="17" t="s">
        <v>260</v>
      </c>
      <c r="D236" s="17" t="s">
        <v>270</v>
      </c>
      <c r="E236" s="18" t="s">
        <v>272</v>
      </c>
      <c r="F236" s="17"/>
      <c r="G236" s="19">
        <f>G237+G240</f>
        <v>1791.66667</v>
      </c>
      <c r="H236" s="19">
        <f>H237+H240</f>
        <v>1752.60394</v>
      </c>
      <c r="I236" s="98">
        <f t="shared" si="11"/>
        <v>97.81975460870743</v>
      </c>
    </row>
    <row r="237" spans="1:9" s="3" customFormat="1" ht="94.5">
      <c r="A237" s="21"/>
      <c r="B237" s="24" t="s">
        <v>277</v>
      </c>
      <c r="C237" s="17" t="s">
        <v>62</v>
      </c>
      <c r="D237" s="17" t="s">
        <v>270</v>
      </c>
      <c r="E237" s="18" t="s">
        <v>273</v>
      </c>
      <c r="F237" s="17"/>
      <c r="G237" s="19">
        <f>G238+G239</f>
        <v>1500</v>
      </c>
      <c r="H237" s="19">
        <f>H238+H239</f>
        <v>1500</v>
      </c>
      <c r="I237" s="98">
        <f t="shared" si="11"/>
        <v>100</v>
      </c>
    </row>
    <row r="238" spans="1:9" s="3" customFormat="1" ht="31.5">
      <c r="A238" s="21"/>
      <c r="B238" s="16" t="s">
        <v>22</v>
      </c>
      <c r="C238" s="17" t="s">
        <v>62</v>
      </c>
      <c r="D238" s="17" t="s">
        <v>270</v>
      </c>
      <c r="E238" s="18" t="s">
        <v>273</v>
      </c>
      <c r="F238" s="17" t="s">
        <v>23</v>
      </c>
      <c r="G238" s="19">
        <f>1100+400-302.8221</f>
        <v>1197.1779000000001</v>
      </c>
      <c r="H238" s="48">
        <v>1197.1779</v>
      </c>
      <c r="I238" s="98">
        <f t="shared" si="11"/>
        <v>99.99999999999997</v>
      </c>
    </row>
    <row r="239" spans="1:9" s="3" customFormat="1" ht="15.75">
      <c r="A239" s="21"/>
      <c r="B239" s="16" t="s">
        <v>24</v>
      </c>
      <c r="C239" s="17" t="s">
        <v>62</v>
      </c>
      <c r="D239" s="17" t="s">
        <v>270</v>
      </c>
      <c r="E239" s="18" t="s">
        <v>273</v>
      </c>
      <c r="F239" s="17" t="s">
        <v>25</v>
      </c>
      <c r="G239" s="19">
        <f>302.8221</f>
        <v>302.8221</v>
      </c>
      <c r="H239" s="48">
        <v>302.8221</v>
      </c>
      <c r="I239" s="98">
        <f t="shared" si="11"/>
        <v>100</v>
      </c>
    </row>
    <row r="240" spans="1:9" s="3" customFormat="1" ht="126">
      <c r="A240" s="21"/>
      <c r="B240" s="24" t="s">
        <v>325</v>
      </c>
      <c r="C240" s="17" t="s">
        <v>62</v>
      </c>
      <c r="D240" s="17" t="s">
        <v>270</v>
      </c>
      <c r="E240" s="18" t="s">
        <v>323</v>
      </c>
      <c r="F240" s="17"/>
      <c r="G240" s="19">
        <f>G241+G242</f>
        <v>291.66667</v>
      </c>
      <c r="H240" s="19">
        <f>H241+H242</f>
        <v>252.60394000000002</v>
      </c>
      <c r="I240" s="98">
        <f t="shared" si="11"/>
        <v>86.60706415306213</v>
      </c>
    </row>
    <row r="241" spans="1:9" s="3" customFormat="1" ht="31.5">
      <c r="A241" s="21"/>
      <c r="B241" s="16" t="s">
        <v>22</v>
      </c>
      <c r="C241" s="17" t="s">
        <v>62</v>
      </c>
      <c r="D241" s="17" t="s">
        <v>270</v>
      </c>
      <c r="E241" s="18" t="s">
        <v>323</v>
      </c>
      <c r="F241" s="17" t="s">
        <v>23</v>
      </c>
      <c r="G241" s="19">
        <f>44.44444+122.22223+60+31.3531</f>
        <v>258.01977</v>
      </c>
      <c r="H241" s="48">
        <v>218.95704</v>
      </c>
      <c r="I241" s="98">
        <f t="shared" si="11"/>
        <v>84.86056707980168</v>
      </c>
    </row>
    <row r="242" spans="1:9" s="3" customFormat="1" ht="15.75">
      <c r="A242" s="21"/>
      <c r="B242" s="16" t="s">
        <v>24</v>
      </c>
      <c r="C242" s="17" t="s">
        <v>62</v>
      </c>
      <c r="D242" s="17" t="s">
        <v>270</v>
      </c>
      <c r="E242" s="18" t="s">
        <v>323</v>
      </c>
      <c r="F242" s="17" t="s">
        <v>25</v>
      </c>
      <c r="G242" s="19">
        <f>33.6469</f>
        <v>33.6469</v>
      </c>
      <c r="H242" s="48">
        <v>33.6469</v>
      </c>
      <c r="I242" s="98">
        <f t="shared" si="11"/>
        <v>100</v>
      </c>
    </row>
    <row r="243" spans="1:9" s="2" customFormat="1" ht="15.75">
      <c r="A243" s="21"/>
      <c r="B243" s="16" t="s">
        <v>46</v>
      </c>
      <c r="C243" s="17" t="s">
        <v>62</v>
      </c>
      <c r="D243" s="17" t="s">
        <v>47</v>
      </c>
      <c r="E243" s="18"/>
      <c r="F243" s="17"/>
      <c r="G243" s="19">
        <f>G244</f>
        <v>26795.690000000002</v>
      </c>
      <c r="H243" s="19">
        <f>H244</f>
        <v>26795.690000000002</v>
      </c>
      <c r="I243" s="98">
        <f t="shared" si="11"/>
        <v>100</v>
      </c>
    </row>
    <row r="244" spans="1:9" s="2" customFormat="1" ht="15.75">
      <c r="A244" s="21"/>
      <c r="B244" s="16" t="s">
        <v>48</v>
      </c>
      <c r="C244" s="17" t="s">
        <v>62</v>
      </c>
      <c r="D244" s="17" t="s">
        <v>49</v>
      </c>
      <c r="E244" s="18"/>
      <c r="F244" s="17"/>
      <c r="G244" s="19">
        <f>G245</f>
        <v>26795.690000000002</v>
      </c>
      <c r="H244" s="19">
        <f>H245</f>
        <v>26795.690000000002</v>
      </c>
      <c r="I244" s="98">
        <f t="shared" si="11"/>
        <v>100</v>
      </c>
    </row>
    <row r="245" spans="1:9" s="2" customFormat="1" ht="15.75">
      <c r="A245" s="21"/>
      <c r="B245" s="16" t="s">
        <v>11</v>
      </c>
      <c r="C245" s="17" t="s">
        <v>62</v>
      </c>
      <c r="D245" s="17" t="s">
        <v>49</v>
      </c>
      <c r="E245" s="18" t="s">
        <v>12</v>
      </c>
      <c r="F245" s="17"/>
      <c r="G245" s="19">
        <f>G248+G251+G246</f>
        <v>26795.690000000002</v>
      </c>
      <c r="H245" s="19">
        <f>H248+H251+H246</f>
        <v>26795.690000000002</v>
      </c>
      <c r="I245" s="98">
        <f t="shared" si="11"/>
        <v>100</v>
      </c>
    </row>
    <row r="246" spans="1:9" s="2" customFormat="1" ht="47.25">
      <c r="A246" s="21"/>
      <c r="B246" s="20" t="s">
        <v>99</v>
      </c>
      <c r="C246" s="17" t="s">
        <v>62</v>
      </c>
      <c r="D246" s="17" t="s">
        <v>49</v>
      </c>
      <c r="E246" s="18" t="s">
        <v>100</v>
      </c>
      <c r="F246" s="17"/>
      <c r="G246" s="19">
        <f>G247</f>
        <v>80</v>
      </c>
      <c r="H246" s="19">
        <f>H247</f>
        <v>80</v>
      </c>
      <c r="I246" s="98">
        <f t="shared" si="11"/>
        <v>100</v>
      </c>
    </row>
    <row r="247" spans="1:9" s="2" customFormat="1" ht="31.5">
      <c r="A247" s="21"/>
      <c r="B247" s="20" t="s">
        <v>51</v>
      </c>
      <c r="C247" s="17" t="s">
        <v>62</v>
      </c>
      <c r="D247" s="17" t="s">
        <v>49</v>
      </c>
      <c r="E247" s="18" t="s">
        <v>100</v>
      </c>
      <c r="F247" s="17" t="s">
        <v>52</v>
      </c>
      <c r="G247" s="19">
        <f>800-640-0.423-79.577</f>
        <v>80</v>
      </c>
      <c r="H247" s="48">
        <v>80</v>
      </c>
      <c r="I247" s="98">
        <f t="shared" si="11"/>
        <v>100</v>
      </c>
    </row>
    <row r="248" spans="1:9" s="2" customFormat="1" ht="110.25">
      <c r="A248" s="21"/>
      <c r="B248" s="24" t="s">
        <v>279</v>
      </c>
      <c r="C248" s="17" t="s">
        <v>62</v>
      </c>
      <c r="D248" s="17" t="s">
        <v>49</v>
      </c>
      <c r="E248" s="18" t="s">
        <v>278</v>
      </c>
      <c r="F248" s="17"/>
      <c r="G248" s="19">
        <f>G249+G250</f>
        <v>14133.19</v>
      </c>
      <c r="H248" s="19">
        <f>H249+H250</f>
        <v>14133.19</v>
      </c>
      <c r="I248" s="98">
        <f t="shared" si="11"/>
        <v>100</v>
      </c>
    </row>
    <row r="249" spans="1:9" s="2" customFormat="1" ht="31.5">
      <c r="A249" s="21"/>
      <c r="B249" s="16" t="s">
        <v>22</v>
      </c>
      <c r="C249" s="17" t="s">
        <v>62</v>
      </c>
      <c r="D249" s="17" t="s">
        <v>49</v>
      </c>
      <c r="E249" s="18" t="s">
        <v>278</v>
      </c>
      <c r="F249" s="17" t="s">
        <v>23</v>
      </c>
      <c r="G249" s="19">
        <v>396</v>
      </c>
      <c r="H249" s="48">
        <v>396</v>
      </c>
      <c r="I249" s="98">
        <f t="shared" si="11"/>
        <v>100</v>
      </c>
    </row>
    <row r="250" spans="1:9" s="2" customFormat="1" ht="15.75">
      <c r="A250" s="21"/>
      <c r="B250" s="16" t="s">
        <v>24</v>
      </c>
      <c r="C250" s="17" t="s">
        <v>62</v>
      </c>
      <c r="D250" s="17" t="s">
        <v>49</v>
      </c>
      <c r="E250" s="18" t="s">
        <v>278</v>
      </c>
      <c r="F250" s="17" t="s">
        <v>25</v>
      </c>
      <c r="G250" s="19">
        <f>26400-12487.81-175</f>
        <v>13737.19</v>
      </c>
      <c r="H250" s="48">
        <v>13737.19</v>
      </c>
      <c r="I250" s="98">
        <f t="shared" si="11"/>
        <v>100</v>
      </c>
    </row>
    <row r="251" spans="1:9" s="2" customFormat="1" ht="63">
      <c r="A251" s="21"/>
      <c r="B251" s="16" t="s">
        <v>263</v>
      </c>
      <c r="C251" s="17" t="s">
        <v>62</v>
      </c>
      <c r="D251" s="17" t="s">
        <v>49</v>
      </c>
      <c r="E251" s="18" t="s">
        <v>262</v>
      </c>
      <c r="F251" s="17"/>
      <c r="G251" s="19">
        <f>G252+G253</f>
        <v>12582.500000000002</v>
      </c>
      <c r="H251" s="19">
        <f>H252+H253</f>
        <v>12582.5</v>
      </c>
      <c r="I251" s="98">
        <f t="shared" si="11"/>
        <v>99.99999999999999</v>
      </c>
    </row>
    <row r="252" spans="1:9" s="2" customFormat="1" ht="31.5">
      <c r="A252" s="21"/>
      <c r="B252" s="16" t="s">
        <v>22</v>
      </c>
      <c r="C252" s="17" t="s">
        <v>62</v>
      </c>
      <c r="D252" s="17" t="s">
        <v>49</v>
      </c>
      <c r="E252" s="18" t="s">
        <v>262</v>
      </c>
      <c r="F252" s="17" t="s">
        <v>23</v>
      </c>
      <c r="G252" s="19">
        <f>342-100-66.45157</f>
        <v>175.54843</v>
      </c>
      <c r="H252" s="48">
        <v>175.54843</v>
      </c>
      <c r="I252" s="98">
        <f t="shared" si="11"/>
        <v>100</v>
      </c>
    </row>
    <row r="253" spans="1:9" s="2" customFormat="1" ht="31.5">
      <c r="A253" s="21"/>
      <c r="B253" s="20" t="s">
        <v>51</v>
      </c>
      <c r="C253" s="17" t="s">
        <v>62</v>
      </c>
      <c r="D253" s="17" t="s">
        <v>49</v>
      </c>
      <c r="E253" s="18" t="s">
        <v>262</v>
      </c>
      <c r="F253" s="17" t="s">
        <v>52</v>
      </c>
      <c r="G253" s="19">
        <f>29319-14104-2808.04843</f>
        <v>12406.951570000001</v>
      </c>
      <c r="H253" s="48">
        <v>12406.95157</v>
      </c>
      <c r="I253" s="98">
        <f t="shared" si="11"/>
        <v>99.99999999999999</v>
      </c>
    </row>
    <row r="254" spans="1:9" ht="47.25">
      <c r="A254" s="44">
        <v>6</v>
      </c>
      <c r="B254" s="72" t="s">
        <v>111</v>
      </c>
      <c r="C254" s="73" t="s">
        <v>112</v>
      </c>
      <c r="D254" s="73"/>
      <c r="E254" s="68"/>
      <c r="F254" s="73"/>
      <c r="G254" s="69">
        <f>G255+G274</f>
        <v>402688.72523000004</v>
      </c>
      <c r="H254" s="69">
        <f>H255+H274</f>
        <v>339424.2811</v>
      </c>
      <c r="I254" s="98">
        <f t="shared" si="11"/>
        <v>84.28949206515135</v>
      </c>
    </row>
    <row r="255" spans="1:9" s="2" customFormat="1" ht="15.75">
      <c r="A255" s="21"/>
      <c r="B255" s="16" t="s">
        <v>7</v>
      </c>
      <c r="C255" s="17" t="s">
        <v>112</v>
      </c>
      <c r="D255" s="17" t="s">
        <v>8</v>
      </c>
      <c r="E255" s="18"/>
      <c r="F255" s="17"/>
      <c r="G255" s="19">
        <f>G256+G264</f>
        <v>21411.068040000002</v>
      </c>
      <c r="H255" s="19">
        <f>H256+H264</f>
        <v>21170.76635</v>
      </c>
      <c r="I255" s="98">
        <f t="shared" si="11"/>
        <v>98.87767537074251</v>
      </c>
    </row>
    <row r="256" spans="1:9" s="2" customFormat="1" ht="63">
      <c r="A256" s="21"/>
      <c r="B256" s="16" t="s">
        <v>36</v>
      </c>
      <c r="C256" s="17" t="s">
        <v>112</v>
      </c>
      <c r="D256" s="17" t="s">
        <v>37</v>
      </c>
      <c r="E256" s="18" t="s">
        <v>19</v>
      </c>
      <c r="F256" s="17" t="s">
        <v>19</v>
      </c>
      <c r="G256" s="19">
        <f>G257</f>
        <v>19961.068040000002</v>
      </c>
      <c r="H256" s="19">
        <f>H257</f>
        <v>19788.78538</v>
      </c>
      <c r="I256" s="98">
        <f t="shared" si="11"/>
        <v>99.13690660412176</v>
      </c>
    </row>
    <row r="257" spans="1:9" s="2" customFormat="1" ht="15.75">
      <c r="A257" s="21"/>
      <c r="B257" s="16" t="s">
        <v>11</v>
      </c>
      <c r="C257" s="17" t="s">
        <v>112</v>
      </c>
      <c r="D257" s="17" t="s">
        <v>37</v>
      </c>
      <c r="E257" s="18" t="s">
        <v>12</v>
      </c>
      <c r="F257" s="17"/>
      <c r="G257" s="19">
        <f>G258</f>
        <v>19961.068040000002</v>
      </c>
      <c r="H257" s="19">
        <f>H258</f>
        <v>19788.78538</v>
      </c>
      <c r="I257" s="98">
        <f t="shared" si="11"/>
        <v>99.13690660412176</v>
      </c>
    </row>
    <row r="258" spans="1:9" s="13" customFormat="1" ht="78.75">
      <c r="A258" s="25"/>
      <c r="B258" s="16" t="s">
        <v>20</v>
      </c>
      <c r="C258" s="17" t="s">
        <v>112</v>
      </c>
      <c r="D258" s="17" t="s">
        <v>37</v>
      </c>
      <c r="E258" s="18" t="s">
        <v>21</v>
      </c>
      <c r="F258" s="17"/>
      <c r="G258" s="19">
        <f>G259+G263+G261</f>
        <v>19961.068040000002</v>
      </c>
      <c r="H258" s="19">
        <f>H259+H263+H261</f>
        <v>19788.78538</v>
      </c>
      <c r="I258" s="98">
        <f t="shared" si="11"/>
        <v>99.13690660412176</v>
      </c>
    </row>
    <row r="259" spans="1:9" s="10" customFormat="1" ht="78.75">
      <c r="A259" s="25"/>
      <c r="B259" s="16" t="s">
        <v>15</v>
      </c>
      <c r="C259" s="17" t="s">
        <v>112</v>
      </c>
      <c r="D259" s="17" t="s">
        <v>37</v>
      </c>
      <c r="E259" s="18" t="s">
        <v>21</v>
      </c>
      <c r="F259" s="17" t="s">
        <v>16</v>
      </c>
      <c r="G259" s="19">
        <v>18344.82958</v>
      </c>
      <c r="H259" s="48">
        <v>18234.80315</v>
      </c>
      <c r="I259" s="98">
        <f t="shared" si="11"/>
        <v>99.40023193172667</v>
      </c>
    </row>
    <row r="260" spans="1:9" s="10" customFormat="1" ht="15.75">
      <c r="A260" s="25"/>
      <c r="B260" s="99" t="s">
        <v>303</v>
      </c>
      <c r="C260" s="17"/>
      <c r="D260" s="17"/>
      <c r="E260" s="18"/>
      <c r="F260" s="17"/>
      <c r="G260" s="38">
        <f>65.90522+5.02789+19.90338-21.96842-1.67597-6.6345</f>
        <v>60.557599999999994</v>
      </c>
      <c r="H260" s="38">
        <f>65.90522+5.02789+19.90338-21.96842-1.67597-6.6345</f>
        <v>60.557599999999994</v>
      </c>
      <c r="I260" s="98">
        <f t="shared" si="11"/>
        <v>100</v>
      </c>
    </row>
    <row r="261" spans="1:9" s="12" customFormat="1" ht="31.5">
      <c r="A261" s="32"/>
      <c r="B261" s="16" t="s">
        <v>22</v>
      </c>
      <c r="C261" s="17" t="s">
        <v>112</v>
      </c>
      <c r="D261" s="17" t="s">
        <v>37</v>
      </c>
      <c r="E261" s="33" t="s">
        <v>21</v>
      </c>
      <c r="F261" s="17" t="s">
        <v>23</v>
      </c>
      <c r="G261" s="19">
        <v>949.94484</v>
      </c>
      <c r="H261" s="48">
        <v>887.68861</v>
      </c>
      <c r="I261" s="98">
        <f t="shared" si="11"/>
        <v>93.44633210492516</v>
      </c>
    </row>
    <row r="262" spans="1:9" s="12" customFormat="1" ht="15.75">
      <c r="A262" s="32"/>
      <c r="B262" s="99" t="s">
        <v>303</v>
      </c>
      <c r="C262" s="17"/>
      <c r="D262" s="17"/>
      <c r="E262" s="33"/>
      <c r="F262" s="17"/>
      <c r="G262" s="38">
        <f>1.61955-0.53979</f>
        <v>1.07976</v>
      </c>
      <c r="H262" s="38">
        <f>1.61955-0.53979</f>
        <v>1.07976</v>
      </c>
      <c r="I262" s="98">
        <f t="shared" si="11"/>
        <v>100</v>
      </c>
    </row>
    <row r="263" spans="1:9" s="10" customFormat="1" ht="15.75">
      <c r="A263" s="25"/>
      <c r="B263" s="16" t="s">
        <v>24</v>
      </c>
      <c r="C263" s="17" t="s">
        <v>112</v>
      </c>
      <c r="D263" s="17" t="s">
        <v>37</v>
      </c>
      <c r="E263" s="18" t="s">
        <v>21</v>
      </c>
      <c r="F263" s="17" t="s">
        <v>25</v>
      </c>
      <c r="G263" s="19">
        <v>666.29362</v>
      </c>
      <c r="H263" s="48">
        <v>666.29362</v>
      </c>
      <c r="I263" s="98">
        <f t="shared" si="11"/>
        <v>100</v>
      </c>
    </row>
    <row r="264" spans="1:9" s="9" customFormat="1" ht="15.75">
      <c r="A264" s="32"/>
      <c r="B264" s="16" t="s">
        <v>44</v>
      </c>
      <c r="C264" s="17" t="s">
        <v>112</v>
      </c>
      <c r="D264" s="17" t="s">
        <v>45</v>
      </c>
      <c r="E264" s="33"/>
      <c r="F264" s="17"/>
      <c r="G264" s="19">
        <f>G265</f>
        <v>1450</v>
      </c>
      <c r="H264" s="19">
        <f>H265</f>
        <v>1381.9809699999998</v>
      </c>
      <c r="I264" s="98">
        <f t="shared" si="11"/>
        <v>95.30903241379309</v>
      </c>
    </row>
    <row r="265" spans="1:9" s="12" customFormat="1" ht="47.25">
      <c r="A265" s="32"/>
      <c r="B265" s="16" t="s">
        <v>250</v>
      </c>
      <c r="C265" s="17" t="s">
        <v>112</v>
      </c>
      <c r="D265" s="17" t="s">
        <v>45</v>
      </c>
      <c r="E265" s="18" t="s">
        <v>113</v>
      </c>
      <c r="F265" s="17"/>
      <c r="G265" s="19">
        <f>G266+G268+G270+G272</f>
        <v>1450</v>
      </c>
      <c r="H265" s="19">
        <f>H266+H268+H270+H272</f>
        <v>1381.9809699999998</v>
      </c>
      <c r="I265" s="98">
        <f t="shared" si="11"/>
        <v>95.30903241379309</v>
      </c>
    </row>
    <row r="266" spans="1:9" s="12" customFormat="1" ht="126">
      <c r="A266" s="32"/>
      <c r="B266" s="31" t="s">
        <v>114</v>
      </c>
      <c r="C266" s="17" t="s">
        <v>112</v>
      </c>
      <c r="D266" s="17" t="s">
        <v>45</v>
      </c>
      <c r="E266" s="18" t="s">
        <v>115</v>
      </c>
      <c r="F266" s="17"/>
      <c r="G266" s="19">
        <f>G267</f>
        <v>450</v>
      </c>
      <c r="H266" s="19">
        <f>H267</f>
        <v>450</v>
      </c>
      <c r="I266" s="98">
        <f t="shared" si="11"/>
        <v>100</v>
      </c>
    </row>
    <row r="267" spans="1:9" s="12" customFormat="1" ht="31.5">
      <c r="A267" s="23"/>
      <c r="B267" s="16" t="s">
        <v>22</v>
      </c>
      <c r="C267" s="17" t="s">
        <v>112</v>
      </c>
      <c r="D267" s="17" t="s">
        <v>45</v>
      </c>
      <c r="E267" s="18" t="s">
        <v>115</v>
      </c>
      <c r="F267" s="17" t="s">
        <v>23</v>
      </c>
      <c r="G267" s="19">
        <f>500-50</f>
        <v>450</v>
      </c>
      <c r="H267" s="48">
        <v>450</v>
      </c>
      <c r="I267" s="98">
        <f t="shared" si="11"/>
        <v>100</v>
      </c>
    </row>
    <row r="268" spans="1:9" s="12" customFormat="1" ht="126">
      <c r="A268" s="21"/>
      <c r="B268" s="31" t="s">
        <v>116</v>
      </c>
      <c r="C268" s="17" t="s">
        <v>112</v>
      </c>
      <c r="D268" s="17" t="s">
        <v>45</v>
      </c>
      <c r="E268" s="18" t="s">
        <v>117</v>
      </c>
      <c r="F268" s="17"/>
      <c r="G268" s="19">
        <f>G269</f>
        <v>830</v>
      </c>
      <c r="H268" s="19">
        <f>H269</f>
        <v>777.5</v>
      </c>
      <c r="I268" s="98">
        <f t="shared" si="11"/>
        <v>93.67469879518072</v>
      </c>
    </row>
    <row r="269" spans="1:9" s="12" customFormat="1" ht="31.5">
      <c r="A269" s="21"/>
      <c r="B269" s="16" t="s">
        <v>22</v>
      </c>
      <c r="C269" s="17" t="s">
        <v>112</v>
      </c>
      <c r="D269" s="17" t="s">
        <v>45</v>
      </c>
      <c r="E269" s="18" t="s">
        <v>117</v>
      </c>
      <c r="F269" s="17" t="s">
        <v>23</v>
      </c>
      <c r="G269" s="19">
        <f>750+300-50-170</f>
        <v>830</v>
      </c>
      <c r="H269" s="48">
        <v>777.5</v>
      </c>
      <c r="I269" s="98">
        <f t="shared" si="11"/>
        <v>93.67469879518072</v>
      </c>
    </row>
    <row r="270" spans="1:9" s="12" customFormat="1" ht="126">
      <c r="A270" s="21"/>
      <c r="B270" s="31" t="s">
        <v>169</v>
      </c>
      <c r="C270" s="17" t="s">
        <v>112</v>
      </c>
      <c r="D270" s="17" t="s">
        <v>45</v>
      </c>
      <c r="E270" s="18" t="s">
        <v>126</v>
      </c>
      <c r="F270" s="17"/>
      <c r="G270" s="19">
        <f>G271</f>
        <v>100</v>
      </c>
      <c r="H270" s="19">
        <f>H271</f>
        <v>98.1</v>
      </c>
      <c r="I270" s="98">
        <f aca="true" t="shared" si="13" ref="I270:I333">H270/G270*100</f>
        <v>98.1</v>
      </c>
    </row>
    <row r="271" spans="1:9" s="12" customFormat="1" ht="31.5">
      <c r="A271" s="21"/>
      <c r="B271" s="16" t="s">
        <v>22</v>
      </c>
      <c r="C271" s="17" t="s">
        <v>112</v>
      </c>
      <c r="D271" s="17" t="s">
        <v>45</v>
      </c>
      <c r="E271" s="18" t="s">
        <v>126</v>
      </c>
      <c r="F271" s="17" t="s">
        <v>23</v>
      </c>
      <c r="G271" s="19">
        <f>250-150</f>
        <v>100</v>
      </c>
      <c r="H271" s="48">
        <v>98.1</v>
      </c>
      <c r="I271" s="98">
        <f t="shared" si="13"/>
        <v>98.1</v>
      </c>
    </row>
    <row r="272" spans="1:9" s="12" customFormat="1" ht="110.25">
      <c r="A272" s="21"/>
      <c r="B272" s="31" t="s">
        <v>310</v>
      </c>
      <c r="C272" s="17" t="s">
        <v>112</v>
      </c>
      <c r="D272" s="17" t="s">
        <v>45</v>
      </c>
      <c r="E272" s="18" t="s">
        <v>311</v>
      </c>
      <c r="F272" s="17"/>
      <c r="G272" s="19">
        <f>G273</f>
        <v>70</v>
      </c>
      <c r="H272" s="19">
        <f>H273</f>
        <v>56.38097</v>
      </c>
      <c r="I272" s="98">
        <f t="shared" si="13"/>
        <v>80.54424285714286</v>
      </c>
    </row>
    <row r="273" spans="1:9" s="12" customFormat="1" ht="31.5">
      <c r="A273" s="21"/>
      <c r="B273" s="16" t="s">
        <v>22</v>
      </c>
      <c r="C273" s="17" t="s">
        <v>112</v>
      </c>
      <c r="D273" s="17" t="s">
        <v>45</v>
      </c>
      <c r="E273" s="18" t="s">
        <v>311</v>
      </c>
      <c r="F273" s="17" t="s">
        <v>23</v>
      </c>
      <c r="G273" s="19">
        <f>150-80</f>
        <v>70</v>
      </c>
      <c r="H273" s="48">
        <v>56.38097</v>
      </c>
      <c r="I273" s="98">
        <f t="shared" si="13"/>
        <v>80.54424285714286</v>
      </c>
    </row>
    <row r="274" spans="1:9" s="9" customFormat="1" ht="15.75">
      <c r="A274" s="21"/>
      <c r="B274" s="16" t="s">
        <v>71</v>
      </c>
      <c r="C274" s="17" t="s">
        <v>112</v>
      </c>
      <c r="D274" s="17" t="s">
        <v>72</v>
      </c>
      <c r="E274" s="18"/>
      <c r="F274" s="17"/>
      <c r="G274" s="19">
        <f>G275+G301</f>
        <v>381277.65719000006</v>
      </c>
      <c r="H274" s="19">
        <f>H275+H301</f>
        <v>318253.51475000003</v>
      </c>
      <c r="I274" s="98">
        <f t="shared" si="13"/>
        <v>83.47027651594242</v>
      </c>
    </row>
    <row r="275" spans="1:9" s="9" customFormat="1" ht="15.75">
      <c r="A275" s="21"/>
      <c r="B275" s="16" t="s">
        <v>73</v>
      </c>
      <c r="C275" s="17" t="s">
        <v>112</v>
      </c>
      <c r="D275" s="17" t="s">
        <v>74</v>
      </c>
      <c r="E275" s="18"/>
      <c r="F275" s="17"/>
      <c r="G275" s="19">
        <f>G293+G276</f>
        <v>341099.58719000005</v>
      </c>
      <c r="H275" s="19">
        <f>H293+H276</f>
        <v>278078.32475</v>
      </c>
      <c r="I275" s="98">
        <f t="shared" si="13"/>
        <v>81.52408715613726</v>
      </c>
    </row>
    <row r="276" spans="1:9" s="7" customFormat="1" ht="47.25">
      <c r="A276" s="25"/>
      <c r="B276" s="24" t="s">
        <v>170</v>
      </c>
      <c r="C276" s="17" t="s">
        <v>112</v>
      </c>
      <c r="D276" s="17" t="s">
        <v>74</v>
      </c>
      <c r="E276" s="18" t="s">
        <v>120</v>
      </c>
      <c r="F276" s="35"/>
      <c r="G276" s="19">
        <f>G284+G277</f>
        <v>325052.51728000003</v>
      </c>
      <c r="H276" s="19">
        <f>H284+H277</f>
        <v>262162.999</v>
      </c>
      <c r="I276" s="98">
        <f t="shared" si="13"/>
        <v>80.65250538397552</v>
      </c>
    </row>
    <row r="277" spans="1:9" s="7" customFormat="1" ht="63">
      <c r="A277" s="25"/>
      <c r="B277" s="24" t="s">
        <v>370</v>
      </c>
      <c r="C277" s="17" t="s">
        <v>112</v>
      </c>
      <c r="D277" s="17" t="s">
        <v>74</v>
      </c>
      <c r="E277" s="18" t="s">
        <v>371</v>
      </c>
      <c r="F277" s="35"/>
      <c r="G277" s="19">
        <f>G278+G280+G282</f>
        <v>31139.69755</v>
      </c>
      <c r="H277" s="19">
        <f>H278+H280+H282</f>
        <v>30050</v>
      </c>
      <c r="I277" s="98">
        <f t="shared" si="13"/>
        <v>96.50061614037739</v>
      </c>
    </row>
    <row r="278" spans="1:9" s="7" customFormat="1" ht="110.25">
      <c r="A278" s="25"/>
      <c r="B278" s="24" t="s">
        <v>372</v>
      </c>
      <c r="C278" s="17" t="s">
        <v>112</v>
      </c>
      <c r="D278" s="17" t="s">
        <v>74</v>
      </c>
      <c r="E278" s="18" t="s">
        <v>373</v>
      </c>
      <c r="F278" s="35"/>
      <c r="G278" s="19">
        <f>G279</f>
        <v>30660.00057</v>
      </c>
      <c r="H278" s="19">
        <f>H279</f>
        <v>29581.2</v>
      </c>
      <c r="I278" s="98">
        <f t="shared" si="13"/>
        <v>96.48140720827129</v>
      </c>
    </row>
    <row r="279" spans="1:9" s="7" customFormat="1" ht="31.5">
      <c r="A279" s="25"/>
      <c r="B279" s="16" t="s">
        <v>121</v>
      </c>
      <c r="C279" s="17" t="s">
        <v>112</v>
      </c>
      <c r="D279" s="17" t="s">
        <v>74</v>
      </c>
      <c r="E279" s="18" t="s">
        <v>373</v>
      </c>
      <c r="F279" s="47" t="s">
        <v>122</v>
      </c>
      <c r="G279" s="19">
        <v>30660.00057</v>
      </c>
      <c r="H279" s="48">
        <v>29581.2</v>
      </c>
      <c r="I279" s="98">
        <f t="shared" si="13"/>
        <v>96.48140720827129</v>
      </c>
    </row>
    <row r="280" spans="1:9" s="7" customFormat="1" ht="69" customHeight="1">
      <c r="A280" s="25"/>
      <c r="B280" s="24" t="s">
        <v>374</v>
      </c>
      <c r="C280" s="17" t="s">
        <v>112</v>
      </c>
      <c r="D280" s="17" t="s">
        <v>74</v>
      </c>
      <c r="E280" s="18" t="s">
        <v>375</v>
      </c>
      <c r="F280" s="35"/>
      <c r="G280" s="19">
        <f>G281</f>
        <v>309.69698</v>
      </c>
      <c r="H280" s="19">
        <f>H281</f>
        <v>298.8</v>
      </c>
      <c r="I280" s="98">
        <f t="shared" si="13"/>
        <v>96.48140579220372</v>
      </c>
    </row>
    <row r="281" spans="1:9" s="7" customFormat="1" ht="31.5">
      <c r="A281" s="25"/>
      <c r="B281" s="16" t="s">
        <v>121</v>
      </c>
      <c r="C281" s="17" t="s">
        <v>112</v>
      </c>
      <c r="D281" s="17" t="s">
        <v>74</v>
      </c>
      <c r="E281" s="18" t="s">
        <v>375</v>
      </c>
      <c r="F281" s="47" t="s">
        <v>122</v>
      </c>
      <c r="G281" s="19">
        <f>309.69698</f>
        <v>309.69698</v>
      </c>
      <c r="H281" s="48">
        <v>298.8</v>
      </c>
      <c r="I281" s="98">
        <f t="shared" si="13"/>
        <v>96.48140579220372</v>
      </c>
    </row>
    <row r="282" spans="1:9" s="7" customFormat="1" ht="66.75" customHeight="1">
      <c r="A282" s="25"/>
      <c r="B282" s="24" t="s">
        <v>376</v>
      </c>
      <c r="C282" s="17" t="s">
        <v>112</v>
      </c>
      <c r="D282" s="17" t="s">
        <v>74</v>
      </c>
      <c r="E282" s="18" t="s">
        <v>377</v>
      </c>
      <c r="F282" s="47"/>
      <c r="G282" s="19">
        <f>G283</f>
        <v>170</v>
      </c>
      <c r="H282" s="19">
        <f>H283</f>
        <v>170</v>
      </c>
      <c r="I282" s="98">
        <f t="shared" si="13"/>
        <v>100</v>
      </c>
    </row>
    <row r="283" spans="1:9" s="7" customFormat="1" ht="31.5">
      <c r="A283" s="25"/>
      <c r="B283" s="16" t="s">
        <v>22</v>
      </c>
      <c r="C283" s="17" t="s">
        <v>112</v>
      </c>
      <c r="D283" s="17" t="s">
        <v>74</v>
      </c>
      <c r="E283" s="18" t="s">
        <v>377</v>
      </c>
      <c r="F283" s="47" t="s">
        <v>23</v>
      </c>
      <c r="G283" s="19">
        <v>170</v>
      </c>
      <c r="H283" s="48">
        <v>170</v>
      </c>
      <c r="I283" s="98">
        <f t="shared" si="13"/>
        <v>100</v>
      </c>
    </row>
    <row r="284" spans="1:9" s="3" customFormat="1" ht="31.5" customHeight="1">
      <c r="A284" s="21"/>
      <c r="B284" s="24" t="s">
        <v>171</v>
      </c>
      <c r="C284" s="17" t="s">
        <v>112</v>
      </c>
      <c r="D284" s="17" t="s">
        <v>74</v>
      </c>
      <c r="E284" s="18" t="s">
        <v>174</v>
      </c>
      <c r="F284" s="17"/>
      <c r="G284" s="19">
        <f>G285+G288+G291</f>
        <v>293912.81973000005</v>
      </c>
      <c r="H284" s="19">
        <f>H285+H288+H291</f>
        <v>232112.999</v>
      </c>
      <c r="I284" s="98">
        <f t="shared" si="13"/>
        <v>78.97341776831246</v>
      </c>
    </row>
    <row r="285" spans="1:12" s="8" customFormat="1" ht="60.75" customHeight="1">
      <c r="A285" s="21"/>
      <c r="B285" s="31" t="s">
        <v>172</v>
      </c>
      <c r="C285" s="17" t="s">
        <v>112</v>
      </c>
      <c r="D285" s="17" t="s">
        <v>74</v>
      </c>
      <c r="E285" s="18" t="s">
        <v>231</v>
      </c>
      <c r="F285" s="17"/>
      <c r="G285" s="19">
        <f>G287</f>
        <v>246852.08770000003</v>
      </c>
      <c r="H285" s="19">
        <f>H287</f>
        <v>191586.02335</v>
      </c>
      <c r="I285" s="98">
        <f t="shared" si="13"/>
        <v>77.61166824030875</v>
      </c>
      <c r="J285" s="3"/>
      <c r="K285" s="3"/>
      <c r="L285" s="3"/>
    </row>
    <row r="286" spans="1:12" s="8" customFormat="1" ht="15.75" customHeight="1">
      <c r="A286" s="21"/>
      <c r="B286" s="16" t="s">
        <v>121</v>
      </c>
      <c r="C286" s="17" t="s">
        <v>112</v>
      </c>
      <c r="D286" s="17" t="s">
        <v>74</v>
      </c>
      <c r="E286" s="18" t="s">
        <v>231</v>
      </c>
      <c r="F286" s="17" t="s">
        <v>122</v>
      </c>
      <c r="G286" s="19">
        <f>G287</f>
        <v>246852.08770000003</v>
      </c>
      <c r="H286" s="48">
        <v>191586.02335</v>
      </c>
      <c r="I286" s="98">
        <f t="shared" si="13"/>
        <v>77.61166824030875</v>
      </c>
      <c r="J286" s="3"/>
      <c r="K286" s="3"/>
      <c r="L286" s="3"/>
    </row>
    <row r="287" spans="1:12" s="8" customFormat="1" ht="15.75" customHeight="1">
      <c r="A287" s="21"/>
      <c r="B287" s="99" t="s">
        <v>230</v>
      </c>
      <c r="C287" s="17"/>
      <c r="D287" s="17"/>
      <c r="E287" s="18"/>
      <c r="F287" s="17"/>
      <c r="G287" s="38">
        <f>97549.25323+1366.36602-71809.72303+179050.67639+36594.31182+4101.20327</f>
        <v>246852.08770000003</v>
      </c>
      <c r="H287" s="38">
        <v>191586.02335</v>
      </c>
      <c r="I287" s="98">
        <f t="shared" si="13"/>
        <v>77.61166824030875</v>
      </c>
      <c r="J287" s="3"/>
      <c r="K287" s="3"/>
      <c r="L287" s="3"/>
    </row>
    <row r="288" spans="1:12" s="8" customFormat="1" ht="60.75" customHeight="1">
      <c r="A288" s="21"/>
      <c r="B288" s="31" t="s">
        <v>172</v>
      </c>
      <c r="C288" s="17" t="s">
        <v>112</v>
      </c>
      <c r="D288" s="17" t="s">
        <v>74</v>
      </c>
      <c r="E288" s="18" t="s">
        <v>233</v>
      </c>
      <c r="F288" s="17"/>
      <c r="G288" s="19">
        <f>G289</f>
        <v>46590.124710000004</v>
      </c>
      <c r="H288" s="19">
        <f>H289</f>
        <v>40114.93448</v>
      </c>
      <c r="I288" s="98">
        <f t="shared" si="13"/>
        <v>86.10179674275442</v>
      </c>
      <c r="J288" s="3"/>
      <c r="K288" s="3"/>
      <c r="L288" s="3"/>
    </row>
    <row r="289" spans="1:12" s="8" customFormat="1" ht="15.75" customHeight="1">
      <c r="A289" s="21"/>
      <c r="B289" s="16" t="s">
        <v>121</v>
      </c>
      <c r="C289" s="17" t="s">
        <v>112</v>
      </c>
      <c r="D289" s="17" t="s">
        <v>74</v>
      </c>
      <c r="E289" s="18" t="s">
        <v>233</v>
      </c>
      <c r="F289" s="17" t="s">
        <v>122</v>
      </c>
      <c r="G289" s="19">
        <f>G290</f>
        <v>46590.124710000004</v>
      </c>
      <c r="H289" s="48">
        <v>40114.93448</v>
      </c>
      <c r="I289" s="98">
        <f t="shared" si="13"/>
        <v>86.10179674275442</v>
      </c>
      <c r="J289" s="3"/>
      <c r="K289" s="3"/>
      <c r="L289" s="3"/>
    </row>
    <row r="290" spans="1:12" s="8" customFormat="1" ht="15.75" customHeight="1">
      <c r="A290" s="21"/>
      <c r="B290" s="99" t="s">
        <v>232</v>
      </c>
      <c r="C290" s="17"/>
      <c r="D290" s="17"/>
      <c r="E290" s="18"/>
      <c r="F290" s="17"/>
      <c r="G290" s="38">
        <f>121442.8513-856.61336-26818.42244-24327.69079-900-21950</f>
        <v>46590.124710000004</v>
      </c>
      <c r="H290" s="38">
        <v>40114.93448</v>
      </c>
      <c r="I290" s="98">
        <f t="shared" si="13"/>
        <v>86.10179674275442</v>
      </c>
      <c r="J290" s="3"/>
      <c r="K290" s="3"/>
      <c r="L290" s="3"/>
    </row>
    <row r="291" spans="1:12" s="8" customFormat="1" ht="71.25" customHeight="1">
      <c r="A291" s="21"/>
      <c r="B291" s="31" t="s">
        <v>333</v>
      </c>
      <c r="C291" s="17" t="s">
        <v>112</v>
      </c>
      <c r="D291" s="17" t="s">
        <v>74</v>
      </c>
      <c r="E291" s="18" t="s">
        <v>173</v>
      </c>
      <c r="F291" s="17"/>
      <c r="G291" s="19">
        <f>G292</f>
        <v>470.60732</v>
      </c>
      <c r="H291" s="19">
        <f>H292</f>
        <v>412.04117</v>
      </c>
      <c r="I291" s="98">
        <f t="shared" si="13"/>
        <v>87.55519782395224</v>
      </c>
      <c r="J291" s="3"/>
      <c r="K291" s="3"/>
      <c r="L291" s="3"/>
    </row>
    <row r="292" spans="1:12" s="8" customFormat="1" ht="15.75" customHeight="1">
      <c r="A292" s="21"/>
      <c r="B292" s="16" t="s">
        <v>121</v>
      </c>
      <c r="C292" s="17" t="s">
        <v>112</v>
      </c>
      <c r="D292" s="17" t="s">
        <v>74</v>
      </c>
      <c r="E292" s="18" t="s">
        <v>173</v>
      </c>
      <c r="F292" s="17" t="s">
        <v>122</v>
      </c>
      <c r="G292" s="19">
        <v>470.60732</v>
      </c>
      <c r="H292" s="48">
        <v>412.04117</v>
      </c>
      <c r="I292" s="98">
        <f t="shared" si="13"/>
        <v>87.55519782395224</v>
      </c>
      <c r="J292" s="3"/>
      <c r="K292" s="3"/>
      <c r="L292" s="3"/>
    </row>
    <row r="293" spans="1:12" s="8" customFormat="1" ht="15.75" customHeight="1">
      <c r="A293" s="21"/>
      <c r="B293" s="16" t="s">
        <v>11</v>
      </c>
      <c r="C293" s="17" t="s">
        <v>112</v>
      </c>
      <c r="D293" s="17" t="s">
        <v>74</v>
      </c>
      <c r="E293" s="18" t="s">
        <v>12</v>
      </c>
      <c r="F293" s="17"/>
      <c r="G293" s="19">
        <f>G294+G299</f>
        <v>16047.069909999998</v>
      </c>
      <c r="H293" s="19">
        <f>H294+H299</f>
        <v>15915.32575</v>
      </c>
      <c r="I293" s="98">
        <f t="shared" si="13"/>
        <v>99.17901423288559</v>
      </c>
      <c r="J293" s="3"/>
      <c r="K293" s="3"/>
      <c r="L293" s="3"/>
    </row>
    <row r="294" spans="1:12" s="8" customFormat="1" ht="15.75" customHeight="1">
      <c r="A294" s="21"/>
      <c r="B294" s="16" t="s">
        <v>118</v>
      </c>
      <c r="C294" s="17" t="s">
        <v>112</v>
      </c>
      <c r="D294" s="17" t="s">
        <v>74</v>
      </c>
      <c r="E294" s="18" t="s">
        <v>119</v>
      </c>
      <c r="F294" s="17"/>
      <c r="G294" s="19">
        <f>G295+G297</f>
        <v>10939.38216</v>
      </c>
      <c r="H294" s="19">
        <f>H295+H297</f>
        <v>10807.638</v>
      </c>
      <c r="I294" s="98">
        <f t="shared" si="13"/>
        <v>98.79568920736929</v>
      </c>
      <c r="J294" s="3"/>
      <c r="K294" s="3"/>
      <c r="L294" s="3"/>
    </row>
    <row r="295" spans="1:12" s="8" customFormat="1" ht="15.75" customHeight="1">
      <c r="A295" s="21"/>
      <c r="B295" s="16" t="s">
        <v>22</v>
      </c>
      <c r="C295" s="17" t="s">
        <v>112</v>
      </c>
      <c r="D295" s="17" t="s">
        <v>74</v>
      </c>
      <c r="E295" s="18" t="s">
        <v>119</v>
      </c>
      <c r="F295" s="17" t="s">
        <v>23</v>
      </c>
      <c r="G295" s="19">
        <f>5616-527.37408-619.57898+617.08687-80.03502+723.89553+3785.42523-16.5+2224.82526-900</f>
        <v>10823.744809999998</v>
      </c>
      <c r="H295" s="48">
        <v>10712.2801</v>
      </c>
      <c r="I295" s="98">
        <f t="shared" si="13"/>
        <v>98.97018349973462</v>
      </c>
      <c r="J295" s="3"/>
      <c r="K295" s="3"/>
      <c r="L295" s="3"/>
    </row>
    <row r="296" spans="1:12" s="8" customFormat="1" ht="110.25">
      <c r="A296" s="21"/>
      <c r="B296" s="100" t="s">
        <v>369</v>
      </c>
      <c r="C296" s="17"/>
      <c r="D296" s="17"/>
      <c r="E296" s="18"/>
      <c r="F296" s="17"/>
      <c r="G296" s="38">
        <v>2224.82526</v>
      </c>
      <c r="H296" s="38">
        <v>2224.82526</v>
      </c>
      <c r="I296" s="98">
        <f t="shared" si="13"/>
        <v>100</v>
      </c>
      <c r="J296" s="3"/>
      <c r="K296" s="3"/>
      <c r="L296" s="3"/>
    </row>
    <row r="297" spans="1:12" s="8" customFormat="1" ht="15.75" customHeight="1">
      <c r="A297" s="21"/>
      <c r="B297" s="16" t="s">
        <v>24</v>
      </c>
      <c r="C297" s="17" t="s">
        <v>112</v>
      </c>
      <c r="D297" s="17" t="s">
        <v>74</v>
      </c>
      <c r="E297" s="18" t="s">
        <v>119</v>
      </c>
      <c r="F297" s="17" t="s">
        <v>25</v>
      </c>
      <c r="G297" s="19">
        <f>10+32.68261+72.95474</f>
        <v>115.63735</v>
      </c>
      <c r="H297" s="48">
        <v>95.3579</v>
      </c>
      <c r="I297" s="98">
        <f t="shared" si="13"/>
        <v>82.46288936922197</v>
      </c>
      <c r="J297" s="3"/>
      <c r="K297" s="3"/>
      <c r="L297" s="3"/>
    </row>
    <row r="298" spans="1:12" s="8" customFormat="1" ht="110.25">
      <c r="A298" s="21"/>
      <c r="B298" s="100" t="s">
        <v>369</v>
      </c>
      <c r="C298" s="17"/>
      <c r="D298" s="17"/>
      <c r="E298" s="18"/>
      <c r="F298" s="17"/>
      <c r="G298" s="38">
        <v>56.45474</v>
      </c>
      <c r="H298" s="38">
        <v>56.45474</v>
      </c>
      <c r="I298" s="98">
        <f t="shared" si="13"/>
        <v>100</v>
      </c>
      <c r="J298" s="3"/>
      <c r="K298" s="3"/>
      <c r="L298" s="3"/>
    </row>
    <row r="299" spans="1:12" s="8" customFormat="1" ht="47.25">
      <c r="A299" s="21"/>
      <c r="B299" s="16" t="s">
        <v>282</v>
      </c>
      <c r="C299" s="17" t="s">
        <v>112</v>
      </c>
      <c r="D299" s="17" t="s">
        <v>74</v>
      </c>
      <c r="E299" s="18" t="s">
        <v>283</v>
      </c>
      <c r="F299" s="17"/>
      <c r="G299" s="19">
        <f>G300</f>
        <v>5107.68775</v>
      </c>
      <c r="H299" s="19">
        <f>H300</f>
        <v>5107.68775</v>
      </c>
      <c r="I299" s="98">
        <f t="shared" si="13"/>
        <v>100</v>
      </c>
      <c r="J299" s="3"/>
      <c r="K299" s="3"/>
      <c r="L299" s="3"/>
    </row>
    <row r="300" spans="1:12" s="8" customFormat="1" ht="15.75" customHeight="1">
      <c r="A300" s="21"/>
      <c r="B300" s="16" t="s">
        <v>22</v>
      </c>
      <c r="C300" s="17" t="s">
        <v>112</v>
      </c>
      <c r="D300" s="17" t="s">
        <v>74</v>
      </c>
      <c r="E300" s="18" t="s">
        <v>283</v>
      </c>
      <c r="F300" s="17" t="s">
        <v>23</v>
      </c>
      <c r="G300" s="19">
        <v>5107.68775</v>
      </c>
      <c r="H300" s="19">
        <v>5107.68775</v>
      </c>
      <c r="I300" s="98">
        <f t="shared" si="13"/>
        <v>100</v>
      </c>
      <c r="J300" s="3"/>
      <c r="K300" s="3"/>
      <c r="L300" s="3"/>
    </row>
    <row r="301" spans="1:12" s="8" customFormat="1" ht="15.75" customHeight="1">
      <c r="A301" s="21"/>
      <c r="B301" s="16" t="s">
        <v>75</v>
      </c>
      <c r="C301" s="17" t="s">
        <v>112</v>
      </c>
      <c r="D301" s="17" t="s">
        <v>76</v>
      </c>
      <c r="E301" s="18"/>
      <c r="F301" s="17"/>
      <c r="G301" s="19">
        <f>G302</f>
        <v>40178.07</v>
      </c>
      <c r="H301" s="19">
        <f>H302</f>
        <v>40175.19</v>
      </c>
      <c r="I301" s="98">
        <f t="shared" si="13"/>
        <v>99.99283191054225</v>
      </c>
      <c r="J301" s="3"/>
      <c r="K301" s="3"/>
      <c r="L301" s="3"/>
    </row>
    <row r="302" spans="1:12" s="8" customFormat="1" ht="63">
      <c r="A302" s="21"/>
      <c r="B302" s="16" t="s">
        <v>221</v>
      </c>
      <c r="C302" s="17" t="s">
        <v>112</v>
      </c>
      <c r="D302" s="17" t="s">
        <v>76</v>
      </c>
      <c r="E302" s="18" t="s">
        <v>80</v>
      </c>
      <c r="F302" s="17"/>
      <c r="G302" s="19">
        <f>G303</f>
        <v>40178.07</v>
      </c>
      <c r="H302" s="19">
        <f>H303</f>
        <v>40175.19</v>
      </c>
      <c r="I302" s="98">
        <f t="shared" si="13"/>
        <v>99.99283191054225</v>
      </c>
      <c r="J302" s="3"/>
      <c r="K302" s="3"/>
      <c r="L302" s="3"/>
    </row>
    <row r="303" spans="1:12" s="8" customFormat="1" ht="47.25">
      <c r="A303" s="21"/>
      <c r="B303" s="16" t="s">
        <v>210</v>
      </c>
      <c r="C303" s="17" t="s">
        <v>112</v>
      </c>
      <c r="D303" s="17" t="s">
        <v>76</v>
      </c>
      <c r="E303" s="18" t="s">
        <v>81</v>
      </c>
      <c r="F303" s="17"/>
      <c r="G303" s="19">
        <f>G304+G306</f>
        <v>40178.07</v>
      </c>
      <c r="H303" s="19">
        <f>H304+H306</f>
        <v>40175.19</v>
      </c>
      <c r="I303" s="98">
        <f t="shared" si="13"/>
        <v>99.99283191054225</v>
      </c>
      <c r="J303" s="3"/>
      <c r="K303" s="3"/>
      <c r="L303" s="3"/>
    </row>
    <row r="304" spans="1:12" s="8" customFormat="1" ht="78.75">
      <c r="A304" s="21"/>
      <c r="B304" s="24" t="s">
        <v>338</v>
      </c>
      <c r="C304" s="17" t="s">
        <v>112</v>
      </c>
      <c r="D304" s="17" t="s">
        <v>76</v>
      </c>
      <c r="E304" s="18" t="s">
        <v>339</v>
      </c>
      <c r="F304" s="17"/>
      <c r="G304" s="19">
        <f>G305</f>
        <v>24632.7886</v>
      </c>
      <c r="H304" s="19">
        <f>H305</f>
        <v>24629.9086</v>
      </c>
      <c r="I304" s="98">
        <f t="shared" si="13"/>
        <v>99.98830826648673</v>
      </c>
      <c r="J304" s="3"/>
      <c r="K304" s="3"/>
      <c r="L304" s="3"/>
    </row>
    <row r="305" spans="1:12" s="8" customFormat="1" ht="15.75" customHeight="1">
      <c r="A305" s="21"/>
      <c r="B305" s="16" t="s">
        <v>121</v>
      </c>
      <c r="C305" s="17" t="s">
        <v>112</v>
      </c>
      <c r="D305" s="17" t="s">
        <v>76</v>
      </c>
      <c r="E305" s="18" t="s">
        <v>339</v>
      </c>
      <c r="F305" s="17" t="s">
        <v>122</v>
      </c>
      <c r="G305" s="19">
        <f>40178.07-15545.2814</f>
        <v>24632.7886</v>
      </c>
      <c r="H305" s="48">
        <v>24629.9086</v>
      </c>
      <c r="I305" s="98">
        <f t="shared" si="13"/>
        <v>99.98830826648673</v>
      </c>
      <c r="J305" s="3"/>
      <c r="K305" s="3"/>
      <c r="L305" s="3"/>
    </row>
    <row r="306" spans="1:12" s="8" customFormat="1" ht="48.75" customHeight="1">
      <c r="A306" s="21"/>
      <c r="B306" s="24" t="s">
        <v>354</v>
      </c>
      <c r="C306" s="17" t="s">
        <v>112</v>
      </c>
      <c r="D306" s="17" t="s">
        <v>76</v>
      </c>
      <c r="E306" s="18" t="s">
        <v>353</v>
      </c>
      <c r="F306" s="17"/>
      <c r="G306" s="19">
        <f>G307</f>
        <v>15545.2814</v>
      </c>
      <c r="H306" s="19">
        <f>H307</f>
        <v>15545.2814</v>
      </c>
      <c r="I306" s="98">
        <f t="shared" si="13"/>
        <v>100</v>
      </c>
      <c r="J306" s="3"/>
      <c r="K306" s="3"/>
      <c r="L306" s="3"/>
    </row>
    <row r="307" spans="1:12" s="8" customFormat="1" ht="15.75" customHeight="1">
      <c r="A307" s="21"/>
      <c r="B307" s="16" t="s">
        <v>121</v>
      </c>
      <c r="C307" s="17" t="s">
        <v>112</v>
      </c>
      <c r="D307" s="17" t="s">
        <v>76</v>
      </c>
      <c r="E307" s="18" t="s">
        <v>353</v>
      </c>
      <c r="F307" s="17" t="s">
        <v>122</v>
      </c>
      <c r="G307" s="19">
        <v>15545.2814</v>
      </c>
      <c r="H307" s="48">
        <v>15545.2814</v>
      </c>
      <c r="I307" s="98">
        <f t="shared" si="13"/>
        <v>100</v>
      </c>
      <c r="J307" s="3"/>
      <c r="K307" s="3"/>
      <c r="L307" s="3"/>
    </row>
    <row r="308" spans="1:9" ht="47.25">
      <c r="A308" s="44">
        <v>7</v>
      </c>
      <c r="B308" s="67" t="s">
        <v>123</v>
      </c>
      <c r="C308" s="73" t="s">
        <v>124</v>
      </c>
      <c r="D308" s="73"/>
      <c r="E308" s="68"/>
      <c r="F308" s="73"/>
      <c r="G308" s="69">
        <f>G309+G344</f>
        <v>30715.344319999997</v>
      </c>
      <c r="H308" s="69">
        <f>H309+H344</f>
        <v>22972.627589999996</v>
      </c>
      <c r="I308" s="98">
        <f t="shared" si="13"/>
        <v>74.79202365653312</v>
      </c>
    </row>
    <row r="309" spans="1:9" s="2" customFormat="1" ht="15.75">
      <c r="A309" s="21"/>
      <c r="B309" s="16" t="s">
        <v>7</v>
      </c>
      <c r="C309" s="17" t="s">
        <v>124</v>
      </c>
      <c r="D309" s="17" t="s">
        <v>8</v>
      </c>
      <c r="E309" s="18"/>
      <c r="F309" s="17"/>
      <c r="G309" s="19">
        <f>G310+G319</f>
        <v>25530.598319999997</v>
      </c>
      <c r="H309" s="19">
        <f>H310+H319</f>
        <v>20587.881589999997</v>
      </c>
      <c r="I309" s="98">
        <f t="shared" si="13"/>
        <v>80.64002782838033</v>
      </c>
    </row>
    <row r="310" spans="1:9" s="2" customFormat="1" ht="63">
      <c r="A310" s="21"/>
      <c r="B310" s="16" t="s">
        <v>36</v>
      </c>
      <c r="C310" s="17" t="s">
        <v>124</v>
      </c>
      <c r="D310" s="17" t="s">
        <v>37</v>
      </c>
      <c r="E310" s="18" t="s">
        <v>19</v>
      </c>
      <c r="F310" s="17" t="s">
        <v>19</v>
      </c>
      <c r="G310" s="19">
        <f>G311</f>
        <v>19309.03145</v>
      </c>
      <c r="H310" s="19">
        <f>H311</f>
        <v>19220.00709</v>
      </c>
      <c r="I310" s="98">
        <f t="shared" si="13"/>
        <v>99.53894963488705</v>
      </c>
    </row>
    <row r="311" spans="1:9" s="2" customFormat="1" ht="15.75">
      <c r="A311" s="21"/>
      <c r="B311" s="16" t="s">
        <v>11</v>
      </c>
      <c r="C311" s="17" t="s">
        <v>124</v>
      </c>
      <c r="D311" s="17" t="s">
        <v>37</v>
      </c>
      <c r="E311" s="18" t="s">
        <v>12</v>
      </c>
      <c r="F311" s="17"/>
      <c r="G311" s="19">
        <f>G312</f>
        <v>19309.03145</v>
      </c>
      <c r="H311" s="19">
        <f>H312</f>
        <v>19220.00709</v>
      </c>
      <c r="I311" s="98">
        <f t="shared" si="13"/>
        <v>99.53894963488705</v>
      </c>
    </row>
    <row r="312" spans="1:9" s="2" customFormat="1" ht="78.75">
      <c r="A312" s="21"/>
      <c r="B312" s="16" t="s">
        <v>20</v>
      </c>
      <c r="C312" s="17" t="s">
        <v>124</v>
      </c>
      <c r="D312" s="17" t="s">
        <v>37</v>
      </c>
      <c r="E312" s="18" t="s">
        <v>21</v>
      </c>
      <c r="F312" s="17"/>
      <c r="G312" s="19">
        <f>G313+G315+G318+G317</f>
        <v>19309.03145</v>
      </c>
      <c r="H312" s="19">
        <f>H313+H315+H318+H317</f>
        <v>19220.00709</v>
      </c>
      <c r="I312" s="98">
        <f t="shared" si="13"/>
        <v>99.53894963488705</v>
      </c>
    </row>
    <row r="313" spans="1:9" s="2" customFormat="1" ht="78.75">
      <c r="A313" s="21"/>
      <c r="B313" s="16" t="s">
        <v>15</v>
      </c>
      <c r="C313" s="17" t="s">
        <v>124</v>
      </c>
      <c r="D313" s="17" t="s">
        <v>37</v>
      </c>
      <c r="E313" s="18" t="s">
        <v>21</v>
      </c>
      <c r="F313" s="17" t="s">
        <v>16</v>
      </c>
      <c r="G313" s="19">
        <f>11363.24202+801.193+3319.99677+133.885+712.3032+43.55029+704.26+212.68604+141.622+42.77-600-321.958-4.85346-97.23132+2910.278+878-1500-500-89.12024-26.91454-62.09921-74</f>
        <v>17987.609549999997</v>
      </c>
      <c r="H313" s="48">
        <v>17935.60099</v>
      </c>
      <c r="I313" s="98">
        <f t="shared" si="13"/>
        <v>99.71086452674308</v>
      </c>
    </row>
    <row r="314" spans="1:9" s="10" customFormat="1" ht="15.75">
      <c r="A314" s="25"/>
      <c r="B314" s="99" t="s">
        <v>302</v>
      </c>
      <c r="C314" s="39"/>
      <c r="D314" s="39"/>
      <c r="E314" s="40"/>
      <c r="F314" s="39"/>
      <c r="G314" s="38">
        <f>102.83+31.055-89.12024-26.91454</f>
        <v>17.850219999999997</v>
      </c>
      <c r="H314" s="38">
        <f>102.83+31.055-89.12024-26.91454</f>
        <v>17.850219999999997</v>
      </c>
      <c r="I314" s="98">
        <f t="shared" si="13"/>
        <v>100</v>
      </c>
    </row>
    <row r="315" spans="1:9" s="8" customFormat="1" ht="31.5">
      <c r="A315" s="34"/>
      <c r="B315" s="24" t="s">
        <v>22</v>
      </c>
      <c r="C315" s="17" t="s">
        <v>124</v>
      </c>
      <c r="D315" s="17" t="s">
        <v>37</v>
      </c>
      <c r="E315" s="18" t="s">
        <v>21</v>
      </c>
      <c r="F315" s="17" t="s">
        <v>23</v>
      </c>
      <c r="G315" s="19">
        <f>981.377-111.44213+58.82112+16.115+366.14313+91.17888-440+120+156.54912+45-13.96522</f>
        <v>1269.7768999999996</v>
      </c>
      <c r="H315" s="48">
        <v>1240.59679</v>
      </c>
      <c r="I315" s="98">
        <f t="shared" si="13"/>
        <v>97.70194984646518</v>
      </c>
    </row>
    <row r="316" spans="1:9" s="8" customFormat="1" ht="15.75">
      <c r="A316" s="34"/>
      <c r="B316" s="99" t="s">
        <v>302</v>
      </c>
      <c r="C316" s="17"/>
      <c r="D316" s="17"/>
      <c r="E316" s="18"/>
      <c r="F316" s="17"/>
      <c r="G316" s="38">
        <f>16.115-13.96522</f>
        <v>2.149779999999998</v>
      </c>
      <c r="H316" s="38">
        <f>16.115-13.96522</f>
        <v>2.149779999999998</v>
      </c>
      <c r="I316" s="98">
        <f t="shared" si="13"/>
        <v>100</v>
      </c>
    </row>
    <row r="317" spans="1:9" s="8" customFormat="1" ht="31.5">
      <c r="A317" s="34"/>
      <c r="B317" s="20" t="s">
        <v>51</v>
      </c>
      <c r="C317" s="17" t="s">
        <v>124</v>
      </c>
      <c r="D317" s="17" t="s">
        <v>37</v>
      </c>
      <c r="E317" s="18" t="s">
        <v>21</v>
      </c>
      <c r="F317" s="17" t="s">
        <v>52</v>
      </c>
      <c r="G317" s="19">
        <f>126+4.85346-80.85346</f>
        <v>50.000000000000014</v>
      </c>
      <c r="H317" s="48">
        <v>42.8142</v>
      </c>
      <c r="I317" s="98">
        <f t="shared" si="13"/>
        <v>85.62839999999997</v>
      </c>
    </row>
    <row r="318" spans="1:9" s="2" customFormat="1" ht="15.75">
      <c r="A318" s="25"/>
      <c r="B318" s="16" t="s">
        <v>24</v>
      </c>
      <c r="C318" s="17" t="s">
        <v>124</v>
      </c>
      <c r="D318" s="17" t="s">
        <v>37</v>
      </c>
      <c r="E318" s="18" t="s">
        <v>21</v>
      </c>
      <c r="F318" s="17" t="s">
        <v>25</v>
      </c>
      <c r="G318" s="19">
        <f>54.97+3.863+71.782-70-54.97-4</f>
        <v>1.6450000000000102</v>
      </c>
      <c r="H318" s="48">
        <v>0.99511</v>
      </c>
      <c r="I318" s="98">
        <f t="shared" si="13"/>
        <v>60.49300911854066</v>
      </c>
    </row>
    <row r="319" spans="1:9" s="2" customFormat="1" ht="15.75">
      <c r="A319" s="21"/>
      <c r="B319" s="16" t="s">
        <v>44</v>
      </c>
      <c r="C319" s="17" t="s">
        <v>124</v>
      </c>
      <c r="D319" s="17" t="s">
        <v>45</v>
      </c>
      <c r="E319" s="18"/>
      <c r="F319" s="17"/>
      <c r="G319" s="19">
        <f>G320+G331+G334+G340</f>
        <v>6221.566870000001</v>
      </c>
      <c r="H319" s="19">
        <f>H320+H331+H334+H340</f>
        <v>1367.8745</v>
      </c>
      <c r="I319" s="98">
        <f t="shared" si="13"/>
        <v>21.986012986468147</v>
      </c>
    </row>
    <row r="320" spans="1:9" s="14" customFormat="1" ht="47.25">
      <c r="A320" s="32"/>
      <c r="B320" s="16" t="s">
        <v>250</v>
      </c>
      <c r="C320" s="17" t="s">
        <v>124</v>
      </c>
      <c r="D320" s="17" t="s">
        <v>45</v>
      </c>
      <c r="E320" s="18" t="s">
        <v>113</v>
      </c>
      <c r="F320" s="17"/>
      <c r="G320" s="19">
        <f>G321+G324+G327+G329</f>
        <v>999.80967</v>
      </c>
      <c r="H320" s="19">
        <f>H321+H324+H327+H329</f>
        <v>999.80967</v>
      </c>
      <c r="I320" s="98">
        <f t="shared" si="13"/>
        <v>100</v>
      </c>
    </row>
    <row r="321" spans="1:9" s="12" customFormat="1" ht="126">
      <c r="A321" s="21"/>
      <c r="B321" s="24" t="s">
        <v>125</v>
      </c>
      <c r="C321" s="17" t="s">
        <v>124</v>
      </c>
      <c r="D321" s="17" t="s">
        <v>45</v>
      </c>
      <c r="E321" s="18" t="s">
        <v>128</v>
      </c>
      <c r="F321" s="17"/>
      <c r="G321" s="19">
        <f>G322</f>
        <v>279.48658</v>
      </c>
      <c r="H321" s="19">
        <f>H322</f>
        <v>279.48658</v>
      </c>
      <c r="I321" s="98">
        <f t="shared" si="13"/>
        <v>100</v>
      </c>
    </row>
    <row r="322" spans="1:9" s="12" customFormat="1" ht="31.5">
      <c r="A322" s="21"/>
      <c r="B322" s="16" t="s">
        <v>22</v>
      </c>
      <c r="C322" s="17" t="s">
        <v>124</v>
      </c>
      <c r="D322" s="17" t="s">
        <v>45</v>
      </c>
      <c r="E322" s="18" t="s">
        <v>128</v>
      </c>
      <c r="F322" s="17" t="s">
        <v>23</v>
      </c>
      <c r="G322" s="19">
        <v>279.48658</v>
      </c>
      <c r="H322" s="48">
        <v>279.48658</v>
      </c>
      <c r="I322" s="98">
        <f t="shared" si="13"/>
        <v>100</v>
      </c>
    </row>
    <row r="323" spans="1:9" s="12" customFormat="1" ht="63">
      <c r="A323" s="21"/>
      <c r="B323" s="99" t="s">
        <v>287</v>
      </c>
      <c r="C323" s="17"/>
      <c r="D323" s="17"/>
      <c r="E323" s="18"/>
      <c r="F323" s="17"/>
      <c r="G323" s="38">
        <v>196.9866</v>
      </c>
      <c r="H323" s="38">
        <v>196.9866</v>
      </c>
      <c r="I323" s="98">
        <f t="shared" si="13"/>
        <v>100</v>
      </c>
    </row>
    <row r="324" spans="1:9" s="12" customFormat="1" ht="141.75">
      <c r="A324" s="21"/>
      <c r="B324" s="24" t="s">
        <v>127</v>
      </c>
      <c r="C324" s="17" t="s">
        <v>124</v>
      </c>
      <c r="D324" s="17" t="s">
        <v>45</v>
      </c>
      <c r="E324" s="18" t="s">
        <v>176</v>
      </c>
      <c r="F324" s="17"/>
      <c r="G324" s="19">
        <f>G325</f>
        <v>470.32309</v>
      </c>
      <c r="H324" s="19">
        <f>H325</f>
        <v>470.32309</v>
      </c>
      <c r="I324" s="98">
        <f t="shared" si="13"/>
        <v>100</v>
      </c>
    </row>
    <row r="325" spans="1:9" s="12" customFormat="1" ht="31.5">
      <c r="A325" s="21"/>
      <c r="B325" s="16" t="s">
        <v>22</v>
      </c>
      <c r="C325" s="17" t="s">
        <v>124</v>
      </c>
      <c r="D325" s="17" t="s">
        <v>45</v>
      </c>
      <c r="E325" s="18" t="s">
        <v>176</v>
      </c>
      <c r="F325" s="17" t="s">
        <v>23</v>
      </c>
      <c r="G325" s="19">
        <f>500+200.32309-180-50</f>
        <v>470.32309</v>
      </c>
      <c r="H325" s="48">
        <v>470.32309</v>
      </c>
      <c r="I325" s="98">
        <f t="shared" si="13"/>
        <v>100</v>
      </c>
    </row>
    <row r="326" spans="1:9" s="12" customFormat="1" ht="63">
      <c r="A326" s="21"/>
      <c r="B326" s="99" t="s">
        <v>287</v>
      </c>
      <c r="C326" s="17"/>
      <c r="D326" s="17"/>
      <c r="E326" s="18"/>
      <c r="F326" s="17"/>
      <c r="G326" s="38">
        <v>71.25788</v>
      </c>
      <c r="H326" s="38">
        <v>71.25788</v>
      </c>
      <c r="I326" s="98">
        <f t="shared" si="13"/>
        <v>100</v>
      </c>
    </row>
    <row r="327" spans="1:9" s="12" customFormat="1" ht="126" hidden="1">
      <c r="A327" s="21"/>
      <c r="B327" s="24" t="s">
        <v>340</v>
      </c>
      <c r="C327" s="17" t="s">
        <v>124</v>
      </c>
      <c r="D327" s="17" t="s">
        <v>45</v>
      </c>
      <c r="E327" s="18" t="s">
        <v>243</v>
      </c>
      <c r="F327" s="17"/>
      <c r="G327" s="19">
        <f>G328</f>
        <v>0</v>
      </c>
      <c r="H327" s="19">
        <f>H328</f>
        <v>0</v>
      </c>
      <c r="I327" s="98" t="e">
        <f t="shared" si="13"/>
        <v>#DIV/0!</v>
      </c>
    </row>
    <row r="328" spans="1:9" s="12" customFormat="1" ht="31.5" hidden="1">
      <c r="A328" s="21"/>
      <c r="B328" s="16" t="s">
        <v>22</v>
      </c>
      <c r="C328" s="17" t="s">
        <v>124</v>
      </c>
      <c r="D328" s="17" t="s">
        <v>45</v>
      </c>
      <c r="E328" s="18" t="s">
        <v>243</v>
      </c>
      <c r="F328" s="17" t="s">
        <v>23</v>
      </c>
      <c r="G328" s="19"/>
      <c r="H328" s="48"/>
      <c r="I328" s="98" t="e">
        <f t="shared" si="13"/>
        <v>#DIV/0!</v>
      </c>
    </row>
    <row r="329" spans="1:9" s="12" customFormat="1" ht="123" customHeight="1">
      <c r="A329" s="21"/>
      <c r="B329" s="24" t="s">
        <v>342</v>
      </c>
      <c r="C329" s="17" t="s">
        <v>124</v>
      </c>
      <c r="D329" s="17" t="s">
        <v>45</v>
      </c>
      <c r="E329" s="18" t="s">
        <v>341</v>
      </c>
      <c r="F329" s="17"/>
      <c r="G329" s="19">
        <f>G330</f>
        <v>250</v>
      </c>
      <c r="H329" s="19">
        <f>H330</f>
        <v>250</v>
      </c>
      <c r="I329" s="98">
        <f t="shared" si="13"/>
        <v>100</v>
      </c>
    </row>
    <row r="330" spans="1:9" s="12" customFormat="1" ht="31.5">
      <c r="A330" s="21"/>
      <c r="B330" s="16" t="s">
        <v>22</v>
      </c>
      <c r="C330" s="17" t="s">
        <v>124</v>
      </c>
      <c r="D330" s="17" t="s">
        <v>45</v>
      </c>
      <c r="E330" s="18" t="s">
        <v>341</v>
      </c>
      <c r="F330" s="17" t="s">
        <v>23</v>
      </c>
      <c r="G330" s="19">
        <f>250</f>
        <v>250</v>
      </c>
      <c r="H330" s="48">
        <v>250</v>
      </c>
      <c r="I330" s="98">
        <f t="shared" si="13"/>
        <v>100</v>
      </c>
    </row>
    <row r="331" spans="1:9" s="12" customFormat="1" ht="47.25">
      <c r="A331" s="21"/>
      <c r="B331" s="16" t="s">
        <v>244</v>
      </c>
      <c r="C331" s="17" t="s">
        <v>124</v>
      </c>
      <c r="D331" s="17" t="s">
        <v>45</v>
      </c>
      <c r="E331" s="18" t="s">
        <v>246</v>
      </c>
      <c r="F331" s="17"/>
      <c r="G331" s="19">
        <f>G332</f>
        <v>71.25788</v>
      </c>
      <c r="H331" s="19">
        <f>H332</f>
        <v>0</v>
      </c>
      <c r="I331" s="98">
        <f t="shared" si="13"/>
        <v>0</v>
      </c>
    </row>
    <row r="332" spans="1:9" s="12" customFormat="1" ht="157.5">
      <c r="A332" s="21"/>
      <c r="B332" s="31" t="s">
        <v>284</v>
      </c>
      <c r="C332" s="17" t="s">
        <v>124</v>
      </c>
      <c r="D332" s="17" t="s">
        <v>45</v>
      </c>
      <c r="E332" s="18" t="s">
        <v>245</v>
      </c>
      <c r="F332" s="17"/>
      <c r="G332" s="19">
        <f>G333</f>
        <v>71.25788</v>
      </c>
      <c r="H332" s="19">
        <f>H333</f>
        <v>0</v>
      </c>
      <c r="I332" s="98">
        <f t="shared" si="13"/>
        <v>0</v>
      </c>
    </row>
    <row r="333" spans="1:9" s="12" customFormat="1" ht="31.5">
      <c r="A333" s="21"/>
      <c r="B333" s="31" t="s">
        <v>22</v>
      </c>
      <c r="C333" s="17" t="s">
        <v>124</v>
      </c>
      <c r="D333" s="17" t="s">
        <v>45</v>
      </c>
      <c r="E333" s="18" t="s">
        <v>245</v>
      </c>
      <c r="F333" s="17" t="s">
        <v>23</v>
      </c>
      <c r="G333" s="19">
        <f>62.837+8.42088</f>
        <v>71.25788</v>
      </c>
      <c r="H333" s="48">
        <v>0</v>
      </c>
      <c r="I333" s="98">
        <f t="shared" si="13"/>
        <v>0</v>
      </c>
    </row>
    <row r="334" spans="1:9" s="5" customFormat="1" ht="47.25">
      <c r="A334" s="25"/>
      <c r="B334" s="28" t="s">
        <v>170</v>
      </c>
      <c r="C334" s="17" t="s">
        <v>124</v>
      </c>
      <c r="D334" s="17" t="s">
        <v>45</v>
      </c>
      <c r="E334" s="18" t="s">
        <v>120</v>
      </c>
      <c r="F334" s="17"/>
      <c r="G334" s="19">
        <f>G335</f>
        <v>4721.31</v>
      </c>
      <c r="H334" s="19">
        <f>H335</f>
        <v>0</v>
      </c>
      <c r="I334" s="98">
        <f aca="true" t="shared" si="14" ref="I334:I397">H334/G334*100</f>
        <v>0</v>
      </c>
    </row>
    <row r="335" spans="1:9" s="5" customFormat="1" ht="47.25">
      <c r="A335" s="25"/>
      <c r="B335" s="28" t="s">
        <v>177</v>
      </c>
      <c r="C335" s="17" t="s">
        <v>124</v>
      </c>
      <c r="D335" s="17" t="s">
        <v>45</v>
      </c>
      <c r="E335" s="18" t="s">
        <v>129</v>
      </c>
      <c r="F335" s="17"/>
      <c r="G335" s="19">
        <f>G336+G338</f>
        <v>4721.31</v>
      </c>
      <c r="H335" s="19">
        <f>H336+H338</f>
        <v>0</v>
      </c>
      <c r="I335" s="98">
        <f t="shared" si="14"/>
        <v>0</v>
      </c>
    </row>
    <row r="336" spans="1:9" s="3" customFormat="1" ht="63">
      <c r="A336" s="25"/>
      <c r="B336" s="28" t="s">
        <v>366</v>
      </c>
      <c r="C336" s="17" t="s">
        <v>124</v>
      </c>
      <c r="D336" s="17" t="s">
        <v>45</v>
      </c>
      <c r="E336" s="18" t="s">
        <v>178</v>
      </c>
      <c r="F336" s="17"/>
      <c r="G336" s="19">
        <f>G337</f>
        <v>4674.0969000000005</v>
      </c>
      <c r="H336" s="19" t="str">
        <f>H337</f>
        <v>0</v>
      </c>
      <c r="I336" s="98">
        <f t="shared" si="14"/>
        <v>0</v>
      </c>
    </row>
    <row r="337" spans="1:9" s="3" customFormat="1" ht="31.5">
      <c r="A337" s="25"/>
      <c r="B337" s="16" t="s">
        <v>22</v>
      </c>
      <c r="C337" s="17" t="s">
        <v>124</v>
      </c>
      <c r="D337" s="17" t="s">
        <v>45</v>
      </c>
      <c r="E337" s="18" t="s">
        <v>178</v>
      </c>
      <c r="F337" s="17" t="s">
        <v>23</v>
      </c>
      <c r="G337" s="19">
        <f>3205.52+5294.48-3825.9031</f>
        <v>4674.0969000000005</v>
      </c>
      <c r="H337" s="52" t="s">
        <v>391</v>
      </c>
      <c r="I337" s="98">
        <f t="shared" si="14"/>
        <v>0</v>
      </c>
    </row>
    <row r="338" spans="1:9" s="3" customFormat="1" ht="78.75">
      <c r="A338" s="25"/>
      <c r="B338" s="28" t="s">
        <v>367</v>
      </c>
      <c r="C338" s="17" t="s">
        <v>124</v>
      </c>
      <c r="D338" s="17" t="s">
        <v>45</v>
      </c>
      <c r="E338" s="18" t="s">
        <v>312</v>
      </c>
      <c r="F338" s="17"/>
      <c r="G338" s="19">
        <f>G339</f>
        <v>47.21310000000002</v>
      </c>
      <c r="H338" s="19" t="str">
        <f>H339</f>
        <v>0</v>
      </c>
      <c r="I338" s="98">
        <f t="shared" si="14"/>
        <v>0</v>
      </c>
    </row>
    <row r="339" spans="1:9" s="3" customFormat="1" ht="31.5">
      <c r="A339" s="25"/>
      <c r="B339" s="16" t="s">
        <v>22</v>
      </c>
      <c r="C339" s="17" t="s">
        <v>124</v>
      </c>
      <c r="D339" s="17" t="s">
        <v>45</v>
      </c>
      <c r="E339" s="18" t="s">
        <v>312</v>
      </c>
      <c r="F339" s="17" t="s">
        <v>23</v>
      </c>
      <c r="G339" s="19">
        <f>32.37899+52.62101+480.65657-479.79907-38.6444</f>
        <v>47.21310000000002</v>
      </c>
      <c r="H339" s="52" t="s">
        <v>391</v>
      </c>
      <c r="I339" s="98">
        <f t="shared" si="14"/>
        <v>0</v>
      </c>
    </row>
    <row r="340" spans="1:9" s="3" customFormat="1" ht="15.75">
      <c r="A340" s="25"/>
      <c r="B340" s="16" t="s">
        <v>11</v>
      </c>
      <c r="C340" s="17" t="s">
        <v>124</v>
      </c>
      <c r="D340" s="17" t="s">
        <v>45</v>
      </c>
      <c r="E340" s="18" t="s">
        <v>12</v>
      </c>
      <c r="F340" s="17"/>
      <c r="G340" s="19">
        <f>G341</f>
        <v>429.18932</v>
      </c>
      <c r="H340" s="19">
        <f>H341</f>
        <v>368.06483</v>
      </c>
      <c r="I340" s="98">
        <f t="shared" si="14"/>
        <v>85.75815213668409</v>
      </c>
    </row>
    <row r="341" spans="1:9" s="3" customFormat="1" ht="63">
      <c r="A341" s="25"/>
      <c r="B341" s="16" t="s">
        <v>365</v>
      </c>
      <c r="C341" s="17" t="s">
        <v>124</v>
      </c>
      <c r="D341" s="17" t="s">
        <v>45</v>
      </c>
      <c r="E341" s="18" t="s">
        <v>364</v>
      </c>
      <c r="F341" s="17"/>
      <c r="G341" s="19">
        <f>G342+G343</f>
        <v>429.18932</v>
      </c>
      <c r="H341" s="19">
        <f>H342+H343</f>
        <v>368.06483</v>
      </c>
      <c r="I341" s="98">
        <f t="shared" si="14"/>
        <v>85.75815213668409</v>
      </c>
    </row>
    <row r="342" spans="1:9" s="3" customFormat="1" ht="78.75">
      <c r="A342" s="25"/>
      <c r="B342" s="16" t="s">
        <v>15</v>
      </c>
      <c r="C342" s="17" t="s">
        <v>124</v>
      </c>
      <c r="D342" s="17" t="s">
        <v>45</v>
      </c>
      <c r="E342" s="18" t="s">
        <v>364</v>
      </c>
      <c r="F342" s="17" t="s">
        <v>16</v>
      </c>
      <c r="G342" s="19">
        <f>321.958+97.23132</f>
        <v>419.18932</v>
      </c>
      <c r="H342" s="52" t="s">
        <v>392</v>
      </c>
      <c r="I342" s="98">
        <f t="shared" si="14"/>
        <v>87.80396170398616</v>
      </c>
    </row>
    <row r="343" spans="1:9" s="3" customFormat="1" ht="31.5">
      <c r="A343" s="25"/>
      <c r="B343" s="16" t="s">
        <v>22</v>
      </c>
      <c r="C343" s="17" t="s">
        <v>124</v>
      </c>
      <c r="D343" s="17" t="s">
        <v>45</v>
      </c>
      <c r="E343" s="18" t="s">
        <v>364</v>
      </c>
      <c r="F343" s="17" t="s">
        <v>23</v>
      </c>
      <c r="G343" s="19">
        <v>10</v>
      </c>
      <c r="H343" s="51">
        <v>0</v>
      </c>
      <c r="I343" s="98">
        <f t="shared" si="14"/>
        <v>0</v>
      </c>
    </row>
    <row r="344" spans="1:9" s="3" customFormat="1" ht="15.75">
      <c r="A344" s="25"/>
      <c r="B344" s="16" t="s">
        <v>71</v>
      </c>
      <c r="C344" s="17" t="s">
        <v>124</v>
      </c>
      <c r="D344" s="17" t="s">
        <v>72</v>
      </c>
      <c r="E344" s="18"/>
      <c r="F344" s="17"/>
      <c r="G344" s="19">
        <f>G345</f>
        <v>5184.746</v>
      </c>
      <c r="H344" s="19">
        <f>H345</f>
        <v>2384.746</v>
      </c>
      <c r="I344" s="98">
        <f t="shared" si="14"/>
        <v>45.995425812566324</v>
      </c>
    </row>
    <row r="345" spans="1:9" s="3" customFormat="1" ht="15.75">
      <c r="A345" s="25"/>
      <c r="B345" s="16" t="s">
        <v>83</v>
      </c>
      <c r="C345" s="17" t="s">
        <v>124</v>
      </c>
      <c r="D345" s="17" t="s">
        <v>84</v>
      </c>
      <c r="E345" s="18"/>
      <c r="F345" s="17"/>
      <c r="G345" s="19">
        <f>G346</f>
        <v>5184.746</v>
      </c>
      <c r="H345" s="19">
        <f>H346</f>
        <v>2384.746</v>
      </c>
      <c r="I345" s="98">
        <f t="shared" si="14"/>
        <v>45.995425812566324</v>
      </c>
    </row>
    <row r="346" spans="1:9" s="3" customFormat="1" ht="47.25">
      <c r="A346" s="25"/>
      <c r="B346" s="16" t="s">
        <v>179</v>
      </c>
      <c r="C346" s="17" t="s">
        <v>124</v>
      </c>
      <c r="D346" s="17" t="s">
        <v>84</v>
      </c>
      <c r="E346" s="18" t="s">
        <v>69</v>
      </c>
      <c r="F346" s="17"/>
      <c r="G346" s="19">
        <f>G350+G347</f>
        <v>5184.746</v>
      </c>
      <c r="H346" s="19">
        <f>H350+H347</f>
        <v>2384.746</v>
      </c>
      <c r="I346" s="98">
        <f t="shared" si="14"/>
        <v>45.995425812566324</v>
      </c>
    </row>
    <row r="347" spans="1:9" s="3" customFormat="1" ht="31.5">
      <c r="A347" s="25"/>
      <c r="B347" s="16" t="s">
        <v>85</v>
      </c>
      <c r="C347" s="17" t="s">
        <v>124</v>
      </c>
      <c r="D347" s="17" t="s">
        <v>84</v>
      </c>
      <c r="E347" s="18" t="s">
        <v>86</v>
      </c>
      <c r="F347" s="17"/>
      <c r="G347" s="19">
        <f>G348</f>
        <v>2938.746</v>
      </c>
      <c r="H347" s="19" t="str">
        <f>H348</f>
        <v>138,746</v>
      </c>
      <c r="I347" s="98">
        <f t="shared" si="14"/>
        <v>4.7212654649295995</v>
      </c>
    </row>
    <row r="348" spans="1:9" s="3" customFormat="1" ht="173.25">
      <c r="A348" s="25"/>
      <c r="B348" s="24" t="s">
        <v>351</v>
      </c>
      <c r="C348" s="17" t="s">
        <v>124</v>
      </c>
      <c r="D348" s="17" t="s">
        <v>84</v>
      </c>
      <c r="E348" s="18" t="s">
        <v>343</v>
      </c>
      <c r="F348" s="17"/>
      <c r="G348" s="19">
        <f>G349</f>
        <v>2938.746</v>
      </c>
      <c r="H348" s="19" t="str">
        <f>H349</f>
        <v>138,746</v>
      </c>
      <c r="I348" s="98">
        <f t="shared" si="14"/>
        <v>4.7212654649295995</v>
      </c>
    </row>
    <row r="349" spans="1:9" s="3" customFormat="1" ht="31.5">
      <c r="A349" s="25"/>
      <c r="B349" s="16" t="s">
        <v>22</v>
      </c>
      <c r="C349" s="17" t="s">
        <v>124</v>
      </c>
      <c r="D349" s="17" t="s">
        <v>84</v>
      </c>
      <c r="E349" s="18" t="s">
        <v>343</v>
      </c>
      <c r="F349" s="17" t="s">
        <v>23</v>
      </c>
      <c r="G349" s="19">
        <v>2938.746</v>
      </c>
      <c r="H349" s="52" t="s">
        <v>393</v>
      </c>
      <c r="I349" s="98">
        <f t="shared" si="14"/>
        <v>4.7212654649295995</v>
      </c>
    </row>
    <row r="350" spans="1:9" s="3" customFormat="1" ht="31.5">
      <c r="A350" s="25"/>
      <c r="B350" s="24" t="s">
        <v>130</v>
      </c>
      <c r="C350" s="17" t="s">
        <v>124</v>
      </c>
      <c r="D350" s="17" t="s">
        <v>84</v>
      </c>
      <c r="E350" s="18" t="s">
        <v>70</v>
      </c>
      <c r="F350" s="103"/>
      <c r="G350" s="19">
        <f>G351</f>
        <v>2246</v>
      </c>
      <c r="H350" s="19">
        <f>H351</f>
        <v>2246</v>
      </c>
      <c r="I350" s="98">
        <f t="shared" si="14"/>
        <v>100</v>
      </c>
    </row>
    <row r="351" spans="1:9" s="3" customFormat="1" ht="141.75">
      <c r="A351" s="25"/>
      <c r="B351" s="24" t="s">
        <v>240</v>
      </c>
      <c r="C351" s="17" t="s">
        <v>124</v>
      </c>
      <c r="D351" s="17" t="s">
        <v>84</v>
      </c>
      <c r="E351" s="18" t="s">
        <v>241</v>
      </c>
      <c r="F351" s="103"/>
      <c r="G351" s="19">
        <f>G352</f>
        <v>2246</v>
      </c>
      <c r="H351" s="19">
        <f>H352</f>
        <v>2246</v>
      </c>
      <c r="I351" s="98">
        <f t="shared" si="14"/>
        <v>100</v>
      </c>
    </row>
    <row r="352" spans="1:9" s="3" customFormat="1" ht="31.5">
      <c r="A352" s="25"/>
      <c r="B352" s="16" t="s">
        <v>22</v>
      </c>
      <c r="C352" s="17" t="s">
        <v>124</v>
      </c>
      <c r="D352" s="17" t="s">
        <v>84</v>
      </c>
      <c r="E352" s="18" t="s">
        <v>241</v>
      </c>
      <c r="F352" s="17" t="s">
        <v>23</v>
      </c>
      <c r="G352" s="19">
        <v>2246</v>
      </c>
      <c r="H352" s="51">
        <v>2246</v>
      </c>
      <c r="I352" s="98">
        <f t="shared" si="14"/>
        <v>100</v>
      </c>
    </row>
    <row r="353" spans="1:9" s="3" customFormat="1" ht="29.25" customHeight="1">
      <c r="A353" s="25"/>
      <c r="B353" s="99" t="s">
        <v>287</v>
      </c>
      <c r="C353" s="17"/>
      <c r="D353" s="17"/>
      <c r="E353" s="18"/>
      <c r="F353" s="17"/>
      <c r="G353" s="38">
        <v>2246</v>
      </c>
      <c r="H353" s="38">
        <v>2246</v>
      </c>
      <c r="I353" s="98">
        <f t="shared" si="14"/>
        <v>100</v>
      </c>
    </row>
    <row r="354" spans="1:9" ht="27" customHeight="1">
      <c r="A354" s="44">
        <v>8</v>
      </c>
      <c r="B354" s="67" t="s">
        <v>131</v>
      </c>
      <c r="C354" s="73" t="s">
        <v>132</v>
      </c>
      <c r="D354" s="73"/>
      <c r="E354" s="68"/>
      <c r="F354" s="73"/>
      <c r="G354" s="69">
        <f>G355+G363+G378+G386+G402+G412</f>
        <v>106039.45814999999</v>
      </c>
      <c r="H354" s="69">
        <f>H355+H363+H378+H386+H402+H412</f>
        <v>105675.08181</v>
      </c>
      <c r="I354" s="98">
        <f t="shared" si="14"/>
        <v>99.65637664850706</v>
      </c>
    </row>
    <row r="355" spans="1:9" s="2" customFormat="1" ht="15.75">
      <c r="A355" s="21"/>
      <c r="B355" s="16" t="s">
        <v>7</v>
      </c>
      <c r="C355" s="17" t="s">
        <v>132</v>
      </c>
      <c r="D355" s="17" t="s">
        <v>8</v>
      </c>
      <c r="E355" s="18"/>
      <c r="F355" s="17"/>
      <c r="G355" s="19">
        <f aca="true" t="shared" si="15" ref="G355:H357">G356</f>
        <v>12511.81863</v>
      </c>
      <c r="H355" s="19">
        <f t="shared" si="15"/>
        <v>12511.81863</v>
      </c>
      <c r="I355" s="98">
        <f t="shared" si="14"/>
        <v>100</v>
      </c>
    </row>
    <row r="356" spans="1:9" s="10" customFormat="1" ht="63">
      <c r="A356" s="21"/>
      <c r="B356" s="16" t="s">
        <v>36</v>
      </c>
      <c r="C356" s="17" t="s">
        <v>132</v>
      </c>
      <c r="D356" s="17" t="s">
        <v>37</v>
      </c>
      <c r="E356" s="18" t="s">
        <v>19</v>
      </c>
      <c r="F356" s="17" t="s">
        <v>19</v>
      </c>
      <c r="G356" s="19">
        <f t="shared" si="15"/>
        <v>12511.81863</v>
      </c>
      <c r="H356" s="19">
        <f t="shared" si="15"/>
        <v>12511.81863</v>
      </c>
      <c r="I356" s="98">
        <f t="shared" si="14"/>
        <v>100</v>
      </c>
    </row>
    <row r="357" spans="1:9" s="10" customFormat="1" ht="15.75">
      <c r="A357" s="21"/>
      <c r="B357" s="16" t="s">
        <v>11</v>
      </c>
      <c r="C357" s="17" t="s">
        <v>132</v>
      </c>
      <c r="D357" s="17" t="s">
        <v>37</v>
      </c>
      <c r="E357" s="18" t="s">
        <v>12</v>
      </c>
      <c r="F357" s="17"/>
      <c r="G357" s="19">
        <f t="shared" si="15"/>
        <v>12511.81863</v>
      </c>
      <c r="H357" s="19">
        <f t="shared" si="15"/>
        <v>12511.81863</v>
      </c>
      <c r="I357" s="98">
        <f t="shared" si="14"/>
        <v>100</v>
      </c>
    </row>
    <row r="358" spans="1:9" s="10" customFormat="1" ht="78.75">
      <c r="A358" s="25"/>
      <c r="B358" s="16" t="s">
        <v>20</v>
      </c>
      <c r="C358" s="17" t="s">
        <v>132</v>
      </c>
      <c r="D358" s="17" t="s">
        <v>37</v>
      </c>
      <c r="E358" s="18" t="s">
        <v>21</v>
      </c>
      <c r="F358" s="17"/>
      <c r="G358" s="19">
        <f>G359+G360+G362</f>
        <v>12511.81863</v>
      </c>
      <c r="H358" s="19">
        <f>H359+H360+H362</f>
        <v>12511.81863</v>
      </c>
      <c r="I358" s="98">
        <f t="shared" si="14"/>
        <v>100</v>
      </c>
    </row>
    <row r="359" spans="1:9" s="10" customFormat="1" ht="78.75">
      <c r="A359" s="25"/>
      <c r="B359" s="16" t="s">
        <v>15</v>
      </c>
      <c r="C359" s="17" t="s">
        <v>132</v>
      </c>
      <c r="D359" s="17" t="s">
        <v>37</v>
      </c>
      <c r="E359" s="18" t="s">
        <v>21</v>
      </c>
      <c r="F359" s="17" t="s">
        <v>16</v>
      </c>
      <c r="G359" s="19">
        <f>3461.62674+3463.63935+318.90624+372.05729+1015.61745+1046.01908+43.16382+1494.97925+265.7552+102.7347+30.75481+130+272.32134-172.91421+45.87011</f>
        <v>11890.53117</v>
      </c>
      <c r="H359" s="48">
        <v>11890.53117</v>
      </c>
      <c r="I359" s="98">
        <f t="shared" si="14"/>
        <v>100</v>
      </c>
    </row>
    <row r="360" spans="1:9" s="2" customFormat="1" ht="31.5">
      <c r="A360" s="25"/>
      <c r="B360" s="16" t="s">
        <v>22</v>
      </c>
      <c r="C360" s="17" t="s">
        <v>132</v>
      </c>
      <c r="D360" s="17" t="s">
        <v>37</v>
      </c>
      <c r="E360" s="18" t="s">
        <v>21</v>
      </c>
      <c r="F360" s="17" t="s">
        <v>23</v>
      </c>
      <c r="G360" s="19">
        <f>273.852+82.44346+50-90+300</f>
        <v>616.29546</v>
      </c>
      <c r="H360" s="48">
        <v>616.29546</v>
      </c>
      <c r="I360" s="98">
        <f t="shared" si="14"/>
        <v>100</v>
      </c>
    </row>
    <row r="361" spans="1:9" s="2" customFormat="1" ht="38.25" customHeight="1">
      <c r="A361" s="25"/>
      <c r="B361" s="99" t="s">
        <v>285</v>
      </c>
      <c r="C361" s="39"/>
      <c r="D361" s="39"/>
      <c r="E361" s="40"/>
      <c r="F361" s="39"/>
      <c r="G361" s="38">
        <v>350</v>
      </c>
      <c r="H361" s="38">
        <v>350</v>
      </c>
      <c r="I361" s="98">
        <f t="shared" si="14"/>
        <v>100</v>
      </c>
    </row>
    <row r="362" spans="1:9" s="2" customFormat="1" ht="19.5" customHeight="1">
      <c r="A362" s="25"/>
      <c r="B362" s="20" t="s">
        <v>51</v>
      </c>
      <c r="C362" s="17" t="s">
        <v>132</v>
      </c>
      <c r="D362" s="17" t="s">
        <v>37</v>
      </c>
      <c r="E362" s="18" t="s">
        <v>21</v>
      </c>
      <c r="F362" s="17" t="s">
        <v>52</v>
      </c>
      <c r="G362" s="19">
        <f>4.992</f>
        <v>4.992</v>
      </c>
      <c r="H362" s="48">
        <v>4.992</v>
      </c>
      <c r="I362" s="98">
        <f t="shared" si="14"/>
        <v>100</v>
      </c>
    </row>
    <row r="363" spans="1:9" s="2" customFormat="1" ht="15.75">
      <c r="A363" s="25"/>
      <c r="B363" s="16" t="s">
        <v>71</v>
      </c>
      <c r="C363" s="17" t="s">
        <v>132</v>
      </c>
      <c r="D363" s="17" t="s">
        <v>72</v>
      </c>
      <c r="E363" s="18"/>
      <c r="F363" s="17"/>
      <c r="G363" s="19">
        <f>G364</f>
        <v>6048.009999999999</v>
      </c>
      <c r="H363" s="19">
        <f>H364</f>
        <v>6048.01</v>
      </c>
      <c r="I363" s="98">
        <f t="shared" si="14"/>
        <v>100.00000000000003</v>
      </c>
    </row>
    <row r="364" spans="1:9" s="2" customFormat="1" ht="15.75" customHeight="1">
      <c r="A364" s="25"/>
      <c r="B364" s="16" t="s">
        <v>83</v>
      </c>
      <c r="C364" s="17" t="s">
        <v>132</v>
      </c>
      <c r="D364" s="17" t="s">
        <v>84</v>
      </c>
      <c r="E364" s="18"/>
      <c r="F364" s="17"/>
      <c r="G364" s="19">
        <f>G365+G373</f>
        <v>6048.009999999999</v>
      </c>
      <c r="H364" s="19">
        <f>H365+H373</f>
        <v>6048.01</v>
      </c>
      <c r="I364" s="98">
        <f t="shared" si="14"/>
        <v>100.00000000000003</v>
      </c>
    </row>
    <row r="365" spans="1:9" s="2" customFormat="1" ht="16.5" customHeight="1">
      <c r="A365" s="25"/>
      <c r="B365" s="16" t="s">
        <v>179</v>
      </c>
      <c r="C365" s="17" t="s">
        <v>132</v>
      </c>
      <c r="D365" s="17" t="s">
        <v>84</v>
      </c>
      <c r="E365" s="18" t="s">
        <v>69</v>
      </c>
      <c r="F365" s="17"/>
      <c r="G365" s="19">
        <f aca="true" t="shared" si="16" ref="G365:H367">G366</f>
        <v>99.99999999999999</v>
      </c>
      <c r="H365" s="19">
        <f t="shared" si="16"/>
        <v>100</v>
      </c>
      <c r="I365" s="98">
        <f t="shared" si="14"/>
        <v>100.00000000000003</v>
      </c>
    </row>
    <row r="366" spans="1:9" s="2" customFormat="1" ht="15.75" customHeight="1">
      <c r="A366" s="25"/>
      <c r="B366" s="16" t="s">
        <v>85</v>
      </c>
      <c r="C366" s="17" t="s">
        <v>132</v>
      </c>
      <c r="D366" s="17" t="s">
        <v>84</v>
      </c>
      <c r="E366" s="18" t="s">
        <v>86</v>
      </c>
      <c r="F366" s="17"/>
      <c r="G366" s="19">
        <f t="shared" si="16"/>
        <v>99.99999999999999</v>
      </c>
      <c r="H366" s="19">
        <f t="shared" si="16"/>
        <v>100</v>
      </c>
      <c r="I366" s="98">
        <f t="shared" si="14"/>
        <v>100.00000000000003</v>
      </c>
    </row>
    <row r="367" spans="1:9" s="2" customFormat="1" ht="78.75">
      <c r="A367" s="25"/>
      <c r="B367" s="24" t="s">
        <v>216</v>
      </c>
      <c r="C367" s="17" t="s">
        <v>132</v>
      </c>
      <c r="D367" s="17" t="s">
        <v>84</v>
      </c>
      <c r="E367" s="18" t="s">
        <v>313</v>
      </c>
      <c r="F367" s="17"/>
      <c r="G367" s="19">
        <f t="shared" si="16"/>
        <v>99.99999999999999</v>
      </c>
      <c r="H367" s="19">
        <f t="shared" si="16"/>
        <v>100</v>
      </c>
      <c r="I367" s="98">
        <f t="shared" si="14"/>
        <v>100.00000000000003</v>
      </c>
    </row>
    <row r="368" spans="1:9" s="2" customFormat="1" ht="47.25">
      <c r="A368" s="25"/>
      <c r="B368" s="16" t="s">
        <v>63</v>
      </c>
      <c r="C368" s="17" t="s">
        <v>132</v>
      </c>
      <c r="D368" s="17" t="s">
        <v>84</v>
      </c>
      <c r="E368" s="18" t="s">
        <v>313</v>
      </c>
      <c r="F368" s="17" t="s">
        <v>64</v>
      </c>
      <c r="G368" s="19">
        <f>SUM(G369:G371)</f>
        <v>99.99999999999999</v>
      </c>
      <c r="H368" s="48">
        <v>100</v>
      </c>
      <c r="I368" s="98">
        <f t="shared" si="14"/>
        <v>100.00000000000003</v>
      </c>
    </row>
    <row r="369" spans="1:9" s="2" customFormat="1" ht="15.75">
      <c r="A369" s="25"/>
      <c r="B369" s="100" t="s">
        <v>229</v>
      </c>
      <c r="C369" s="17"/>
      <c r="D369" s="17"/>
      <c r="E369" s="18"/>
      <c r="F369" s="17"/>
      <c r="G369" s="38">
        <f>92.68543</f>
        <v>92.68543</v>
      </c>
      <c r="H369" s="38">
        <f>92.68543</f>
        <v>92.68543</v>
      </c>
      <c r="I369" s="98">
        <f t="shared" si="14"/>
        <v>100</v>
      </c>
    </row>
    <row r="370" spans="1:9" s="2" customFormat="1" ht="15.75">
      <c r="A370" s="25"/>
      <c r="B370" s="100" t="s">
        <v>195</v>
      </c>
      <c r="C370" s="17"/>
      <c r="D370" s="17"/>
      <c r="E370" s="18"/>
      <c r="F370" s="17"/>
      <c r="G370" s="38">
        <f>6.64961</f>
        <v>6.64961</v>
      </c>
      <c r="H370" s="38">
        <f>6.64961</f>
        <v>6.64961</v>
      </c>
      <c r="I370" s="98">
        <f t="shared" si="14"/>
        <v>100</v>
      </c>
    </row>
    <row r="371" spans="1:9" s="2" customFormat="1" ht="15.75">
      <c r="A371" s="25"/>
      <c r="B371" s="100" t="s">
        <v>194</v>
      </c>
      <c r="C371" s="17"/>
      <c r="D371" s="17"/>
      <c r="E371" s="18"/>
      <c r="F371" s="17"/>
      <c r="G371" s="38">
        <v>0.66496</v>
      </c>
      <c r="H371" s="38">
        <v>0.66496</v>
      </c>
      <c r="I371" s="98">
        <f t="shared" si="14"/>
        <v>100</v>
      </c>
    </row>
    <row r="372" spans="1:9" s="2" customFormat="1" ht="15.75">
      <c r="A372" s="25"/>
      <c r="B372" s="16" t="s">
        <v>11</v>
      </c>
      <c r="C372" s="17" t="s">
        <v>132</v>
      </c>
      <c r="D372" s="17" t="s">
        <v>84</v>
      </c>
      <c r="E372" s="18" t="s">
        <v>12</v>
      </c>
      <c r="F372" s="17"/>
      <c r="G372" s="19">
        <f>G373</f>
        <v>5948.009999999999</v>
      </c>
      <c r="H372" s="19">
        <f>H373</f>
        <v>5948.01</v>
      </c>
      <c r="I372" s="98">
        <f t="shared" si="14"/>
        <v>100.00000000000003</v>
      </c>
    </row>
    <row r="373" spans="1:9" s="2" customFormat="1" ht="78.75">
      <c r="A373" s="25"/>
      <c r="B373" s="16" t="s">
        <v>151</v>
      </c>
      <c r="C373" s="17" t="s">
        <v>132</v>
      </c>
      <c r="D373" s="17" t="s">
        <v>84</v>
      </c>
      <c r="E373" s="18" t="s">
        <v>252</v>
      </c>
      <c r="F373" s="17"/>
      <c r="G373" s="19">
        <f>G374</f>
        <v>5948.009999999999</v>
      </c>
      <c r="H373" s="19">
        <f>H374</f>
        <v>5948.01</v>
      </c>
      <c r="I373" s="98">
        <f t="shared" si="14"/>
        <v>100.00000000000003</v>
      </c>
    </row>
    <row r="374" spans="1:9" s="2" customFormat="1" ht="47.25">
      <c r="A374" s="25"/>
      <c r="B374" s="16" t="s">
        <v>63</v>
      </c>
      <c r="C374" s="17" t="s">
        <v>132</v>
      </c>
      <c r="D374" s="17" t="s">
        <v>84</v>
      </c>
      <c r="E374" s="18" t="s">
        <v>252</v>
      </c>
      <c r="F374" s="17" t="s">
        <v>64</v>
      </c>
      <c r="G374" s="19">
        <f>4900+150.00001+900-1.57001-0.42</f>
        <v>5948.009999999999</v>
      </c>
      <c r="H374" s="48">
        <v>5948.01</v>
      </c>
      <c r="I374" s="98">
        <f t="shared" si="14"/>
        <v>100.00000000000003</v>
      </c>
    </row>
    <row r="375" spans="1:9" s="2" customFormat="1" ht="94.5">
      <c r="A375" s="25"/>
      <c r="B375" s="105" t="s">
        <v>296</v>
      </c>
      <c r="C375" s="17"/>
      <c r="D375" s="17"/>
      <c r="E375" s="18"/>
      <c r="F375" s="17"/>
      <c r="G375" s="19">
        <f>5950-1.57-0.42</f>
        <v>5948.01</v>
      </c>
      <c r="H375" s="19">
        <f>5950-1.57-0.42</f>
        <v>5948.01</v>
      </c>
      <c r="I375" s="98">
        <f t="shared" si="14"/>
        <v>100</v>
      </c>
    </row>
    <row r="376" spans="1:9" s="10" customFormat="1" ht="34.5" customHeight="1">
      <c r="A376" s="25"/>
      <c r="B376" s="99" t="s">
        <v>299</v>
      </c>
      <c r="C376" s="39"/>
      <c r="D376" s="39"/>
      <c r="E376" s="40"/>
      <c r="F376" s="39"/>
      <c r="G376" s="38">
        <v>4900</v>
      </c>
      <c r="H376" s="38">
        <v>4900</v>
      </c>
      <c r="I376" s="98">
        <f t="shared" si="14"/>
        <v>100</v>
      </c>
    </row>
    <row r="377" spans="1:9" s="10" customFormat="1" ht="34.5" customHeight="1">
      <c r="A377" s="25"/>
      <c r="B377" s="99" t="s">
        <v>285</v>
      </c>
      <c r="C377" s="39"/>
      <c r="D377" s="39"/>
      <c r="E377" s="40"/>
      <c r="F377" s="39"/>
      <c r="G377" s="38">
        <v>900</v>
      </c>
      <c r="H377" s="38">
        <v>900</v>
      </c>
      <c r="I377" s="98">
        <f t="shared" si="14"/>
        <v>100</v>
      </c>
    </row>
    <row r="378" spans="1:9" s="2" customFormat="1" ht="15.75">
      <c r="A378" s="25"/>
      <c r="B378" s="16" t="s">
        <v>133</v>
      </c>
      <c r="C378" s="17" t="s">
        <v>132</v>
      </c>
      <c r="D378" s="17" t="s">
        <v>134</v>
      </c>
      <c r="E378" s="18"/>
      <c r="F378" s="17"/>
      <c r="G378" s="19">
        <f aca="true" t="shared" si="17" ref="G378:H380">G379</f>
        <v>264.98</v>
      </c>
      <c r="H378" s="19">
        <f t="shared" si="17"/>
        <v>264.98</v>
      </c>
      <c r="I378" s="98">
        <f t="shared" si="14"/>
        <v>100</v>
      </c>
    </row>
    <row r="379" spans="1:9" s="2" customFormat="1" ht="15.75">
      <c r="A379" s="25"/>
      <c r="B379" s="16" t="s">
        <v>236</v>
      </c>
      <c r="C379" s="17" t="s">
        <v>132</v>
      </c>
      <c r="D379" s="17" t="s">
        <v>135</v>
      </c>
      <c r="E379" s="18"/>
      <c r="F379" s="17"/>
      <c r="G379" s="19">
        <f t="shared" si="17"/>
        <v>264.98</v>
      </c>
      <c r="H379" s="19">
        <f t="shared" si="17"/>
        <v>264.98</v>
      </c>
      <c r="I379" s="98">
        <f t="shared" si="14"/>
        <v>100</v>
      </c>
    </row>
    <row r="380" spans="1:9" s="2" customFormat="1" ht="47.25">
      <c r="A380" s="25"/>
      <c r="B380" s="16" t="s">
        <v>180</v>
      </c>
      <c r="C380" s="17" t="s">
        <v>132</v>
      </c>
      <c r="D380" s="17" t="s">
        <v>135</v>
      </c>
      <c r="E380" s="18" t="s">
        <v>136</v>
      </c>
      <c r="F380" s="17"/>
      <c r="G380" s="19">
        <f t="shared" si="17"/>
        <v>264.98</v>
      </c>
      <c r="H380" s="19">
        <f t="shared" si="17"/>
        <v>264.98</v>
      </c>
      <c r="I380" s="98">
        <f t="shared" si="14"/>
        <v>100</v>
      </c>
    </row>
    <row r="381" spans="1:9" s="2" customFormat="1" ht="31.5">
      <c r="A381" s="25"/>
      <c r="B381" s="16" t="s">
        <v>184</v>
      </c>
      <c r="C381" s="17" t="s">
        <v>132</v>
      </c>
      <c r="D381" s="17" t="s">
        <v>135</v>
      </c>
      <c r="E381" s="18" t="s">
        <v>183</v>
      </c>
      <c r="F381" s="17"/>
      <c r="G381" s="19">
        <f>G382+G384</f>
        <v>264.98</v>
      </c>
      <c r="H381" s="19">
        <f>H382+H384</f>
        <v>264.98</v>
      </c>
      <c r="I381" s="98">
        <f t="shared" si="14"/>
        <v>100</v>
      </c>
    </row>
    <row r="382" spans="1:9" s="2" customFormat="1" ht="126">
      <c r="A382" s="25"/>
      <c r="B382" s="24" t="s">
        <v>137</v>
      </c>
      <c r="C382" s="17" t="s">
        <v>132</v>
      </c>
      <c r="D382" s="17" t="s">
        <v>135</v>
      </c>
      <c r="E382" s="18" t="s">
        <v>185</v>
      </c>
      <c r="F382" s="17"/>
      <c r="G382" s="19">
        <f>G383</f>
        <v>204.98</v>
      </c>
      <c r="H382" s="19">
        <f>H383</f>
        <v>204.98</v>
      </c>
      <c r="I382" s="98">
        <f t="shared" si="14"/>
        <v>100</v>
      </c>
    </row>
    <row r="383" spans="1:9" s="3" customFormat="1" ht="31.5">
      <c r="A383" s="25"/>
      <c r="B383" s="16" t="s">
        <v>22</v>
      </c>
      <c r="C383" s="17" t="s">
        <v>132</v>
      </c>
      <c r="D383" s="17" t="s">
        <v>135</v>
      </c>
      <c r="E383" s="18" t="s">
        <v>185</v>
      </c>
      <c r="F383" s="17" t="s">
        <v>23</v>
      </c>
      <c r="G383" s="19">
        <f>60+175-30.02</f>
        <v>204.98</v>
      </c>
      <c r="H383" s="48">
        <v>204.98</v>
      </c>
      <c r="I383" s="98">
        <f t="shared" si="14"/>
        <v>100</v>
      </c>
    </row>
    <row r="384" spans="1:9" s="2" customFormat="1" ht="110.25">
      <c r="A384" s="25"/>
      <c r="B384" s="24" t="s">
        <v>138</v>
      </c>
      <c r="C384" s="17" t="s">
        <v>132</v>
      </c>
      <c r="D384" s="17" t="s">
        <v>135</v>
      </c>
      <c r="E384" s="18" t="s">
        <v>186</v>
      </c>
      <c r="F384" s="17"/>
      <c r="G384" s="19">
        <f>G385</f>
        <v>60</v>
      </c>
      <c r="H384" s="19">
        <f>H385</f>
        <v>60</v>
      </c>
      <c r="I384" s="98">
        <f t="shared" si="14"/>
        <v>100</v>
      </c>
    </row>
    <row r="385" spans="1:9" s="3" customFormat="1" ht="31.5">
      <c r="A385" s="25"/>
      <c r="B385" s="16" t="s">
        <v>22</v>
      </c>
      <c r="C385" s="17" t="s">
        <v>132</v>
      </c>
      <c r="D385" s="17" t="s">
        <v>135</v>
      </c>
      <c r="E385" s="18" t="s">
        <v>186</v>
      </c>
      <c r="F385" s="17" t="s">
        <v>23</v>
      </c>
      <c r="G385" s="19">
        <f>60+30-30</f>
        <v>60</v>
      </c>
      <c r="H385" s="48">
        <v>60</v>
      </c>
      <c r="I385" s="98">
        <f t="shared" si="14"/>
        <v>100</v>
      </c>
    </row>
    <row r="386" spans="1:9" s="2" customFormat="1" ht="15.75">
      <c r="A386" s="21" t="s">
        <v>139</v>
      </c>
      <c r="B386" s="20" t="s">
        <v>140</v>
      </c>
      <c r="C386" s="17" t="s">
        <v>132</v>
      </c>
      <c r="D386" s="17" t="s">
        <v>141</v>
      </c>
      <c r="E386" s="18"/>
      <c r="F386" s="17"/>
      <c r="G386" s="19">
        <f>G387+G394</f>
        <v>36565.206849999995</v>
      </c>
      <c r="H386" s="19">
        <f>H387+H394</f>
        <v>36508.77282</v>
      </c>
      <c r="I386" s="98">
        <f t="shared" si="14"/>
        <v>99.84566194242657</v>
      </c>
    </row>
    <row r="387" spans="1:9" s="2" customFormat="1" ht="15.75">
      <c r="A387" s="21"/>
      <c r="B387" s="16" t="s">
        <v>142</v>
      </c>
      <c r="C387" s="17" t="s">
        <v>132</v>
      </c>
      <c r="D387" s="17" t="s">
        <v>143</v>
      </c>
      <c r="E387" s="18"/>
      <c r="F387" s="17"/>
      <c r="G387" s="19">
        <f aca="true" t="shared" si="18" ref="G387:H389">G388</f>
        <v>36073.206849999995</v>
      </c>
      <c r="H387" s="19">
        <f t="shared" si="18"/>
        <v>36016.77282</v>
      </c>
      <c r="I387" s="98">
        <f t="shared" si="14"/>
        <v>99.84355693621956</v>
      </c>
    </row>
    <row r="388" spans="1:9" s="2" customFormat="1" ht="15.75">
      <c r="A388" s="21"/>
      <c r="B388" s="16" t="s">
        <v>11</v>
      </c>
      <c r="C388" s="17" t="s">
        <v>132</v>
      </c>
      <c r="D388" s="17" t="s">
        <v>143</v>
      </c>
      <c r="E388" s="18" t="s">
        <v>12</v>
      </c>
      <c r="F388" s="17"/>
      <c r="G388" s="19">
        <f t="shared" si="18"/>
        <v>36073.206849999995</v>
      </c>
      <c r="H388" s="19">
        <f t="shared" si="18"/>
        <v>36016.77282</v>
      </c>
      <c r="I388" s="98">
        <f t="shared" si="14"/>
        <v>99.84355693621956</v>
      </c>
    </row>
    <row r="389" spans="1:9" s="74" customFormat="1" ht="63">
      <c r="A389" s="21"/>
      <c r="B389" s="16" t="s">
        <v>187</v>
      </c>
      <c r="C389" s="17" t="s">
        <v>132</v>
      </c>
      <c r="D389" s="17" t="s">
        <v>143</v>
      </c>
      <c r="E389" s="18" t="s">
        <v>188</v>
      </c>
      <c r="F389" s="17"/>
      <c r="G389" s="19">
        <f t="shared" si="18"/>
        <v>36073.206849999995</v>
      </c>
      <c r="H389" s="19">
        <f t="shared" si="18"/>
        <v>36016.77282</v>
      </c>
      <c r="I389" s="98">
        <f t="shared" si="14"/>
        <v>99.84355693621956</v>
      </c>
    </row>
    <row r="390" spans="1:9" s="8" customFormat="1" ht="47.25">
      <c r="A390" s="23"/>
      <c r="B390" s="16" t="s">
        <v>63</v>
      </c>
      <c r="C390" s="17" t="s">
        <v>132</v>
      </c>
      <c r="D390" s="17" t="s">
        <v>143</v>
      </c>
      <c r="E390" s="18" t="s">
        <v>188</v>
      </c>
      <c r="F390" s="17" t="s">
        <v>64</v>
      </c>
      <c r="G390" s="19">
        <f>32643.60599+1219.00493+535.5-474.66225+404.6+310+1030.65818+300+104.5</f>
        <v>36073.206849999995</v>
      </c>
      <c r="H390" s="48">
        <v>36016.77282</v>
      </c>
      <c r="I390" s="98">
        <f t="shared" si="14"/>
        <v>99.84355693621956</v>
      </c>
    </row>
    <row r="391" spans="1:9" s="8" customFormat="1" ht="31.5">
      <c r="A391" s="23"/>
      <c r="B391" s="104" t="s">
        <v>297</v>
      </c>
      <c r="C391" s="17"/>
      <c r="D391" s="17"/>
      <c r="E391" s="18"/>
      <c r="F391" s="17"/>
      <c r="G391" s="38">
        <v>1300.5</v>
      </c>
      <c r="H391" s="38">
        <v>1300.5</v>
      </c>
      <c r="I391" s="98">
        <f t="shared" si="14"/>
        <v>100</v>
      </c>
    </row>
    <row r="392" spans="1:9" s="8" customFormat="1" ht="94.5">
      <c r="A392" s="23"/>
      <c r="B392" s="105" t="s">
        <v>249</v>
      </c>
      <c r="C392" s="17"/>
      <c r="D392" s="17"/>
      <c r="E392" s="18"/>
      <c r="F392" s="17"/>
      <c r="G392" s="38">
        <v>560.189</v>
      </c>
      <c r="H392" s="38">
        <v>560.189</v>
      </c>
      <c r="I392" s="98">
        <f t="shared" si="14"/>
        <v>100</v>
      </c>
    </row>
    <row r="393" spans="1:9" s="8" customFormat="1" ht="47.25">
      <c r="A393" s="23"/>
      <c r="B393" s="99" t="s">
        <v>285</v>
      </c>
      <c r="C393" s="39"/>
      <c r="D393" s="39"/>
      <c r="E393" s="40"/>
      <c r="F393" s="39"/>
      <c r="G393" s="38">
        <v>845.5</v>
      </c>
      <c r="H393" s="38">
        <v>845.5</v>
      </c>
      <c r="I393" s="98">
        <f t="shared" si="14"/>
        <v>100</v>
      </c>
    </row>
    <row r="394" spans="1:9" s="2" customFormat="1" ht="31.5">
      <c r="A394" s="21"/>
      <c r="B394" s="16" t="s">
        <v>144</v>
      </c>
      <c r="C394" s="17" t="s">
        <v>132</v>
      </c>
      <c r="D394" s="17" t="s">
        <v>145</v>
      </c>
      <c r="E394" s="18"/>
      <c r="F394" s="17"/>
      <c r="G394" s="19">
        <f>G395</f>
        <v>492</v>
      </c>
      <c r="H394" s="19">
        <f>H395</f>
        <v>492</v>
      </c>
      <c r="I394" s="98">
        <f t="shared" si="14"/>
        <v>100</v>
      </c>
    </row>
    <row r="395" spans="1:9" s="2" customFormat="1" ht="31.5">
      <c r="A395" s="21"/>
      <c r="B395" s="16" t="s">
        <v>189</v>
      </c>
      <c r="C395" s="17" t="s">
        <v>132</v>
      </c>
      <c r="D395" s="17" t="s">
        <v>145</v>
      </c>
      <c r="E395" s="18" t="s">
        <v>146</v>
      </c>
      <c r="F395" s="17"/>
      <c r="G395" s="19">
        <f>G396+G399</f>
        <v>492</v>
      </c>
      <c r="H395" s="19">
        <f>H396+H399</f>
        <v>492</v>
      </c>
      <c r="I395" s="98">
        <f t="shared" si="14"/>
        <v>100</v>
      </c>
    </row>
    <row r="396" spans="1:9" s="2" customFormat="1" ht="31.5">
      <c r="A396" s="21"/>
      <c r="B396" s="16" t="s">
        <v>190</v>
      </c>
      <c r="C396" s="17" t="s">
        <v>132</v>
      </c>
      <c r="D396" s="17" t="s">
        <v>145</v>
      </c>
      <c r="E396" s="18" t="s">
        <v>191</v>
      </c>
      <c r="F396" s="17"/>
      <c r="G396" s="19">
        <f>G397</f>
        <v>392</v>
      </c>
      <c r="H396" s="19">
        <f>H397</f>
        <v>392</v>
      </c>
      <c r="I396" s="98">
        <f t="shared" si="14"/>
        <v>100</v>
      </c>
    </row>
    <row r="397" spans="1:9" s="2" customFormat="1" ht="173.25">
      <c r="A397" s="21"/>
      <c r="B397" s="31" t="s">
        <v>306</v>
      </c>
      <c r="C397" s="17" t="s">
        <v>132</v>
      </c>
      <c r="D397" s="17" t="s">
        <v>145</v>
      </c>
      <c r="E397" s="18" t="s">
        <v>192</v>
      </c>
      <c r="F397" s="17"/>
      <c r="G397" s="19">
        <f>G398</f>
        <v>392</v>
      </c>
      <c r="H397" s="19">
        <f>H398</f>
        <v>392</v>
      </c>
      <c r="I397" s="98">
        <f t="shared" si="14"/>
        <v>100</v>
      </c>
    </row>
    <row r="398" spans="1:9" s="2" customFormat="1" ht="31.5">
      <c r="A398" s="21"/>
      <c r="B398" s="16" t="s">
        <v>22</v>
      </c>
      <c r="C398" s="17" t="s">
        <v>132</v>
      </c>
      <c r="D398" s="17" t="s">
        <v>145</v>
      </c>
      <c r="E398" s="18" t="s">
        <v>192</v>
      </c>
      <c r="F398" s="17" t="s">
        <v>23</v>
      </c>
      <c r="G398" s="19">
        <f>492-100</f>
        <v>392</v>
      </c>
      <c r="H398" s="48">
        <v>392</v>
      </c>
      <c r="I398" s="98">
        <f aca="true" t="shared" si="19" ref="I398:I461">H398/G398*100</f>
        <v>100</v>
      </c>
    </row>
    <row r="399" spans="1:9" s="2" customFormat="1" ht="31.5">
      <c r="A399" s="21"/>
      <c r="B399" s="16" t="s">
        <v>288</v>
      </c>
      <c r="C399" s="17" t="s">
        <v>132</v>
      </c>
      <c r="D399" s="17" t="s">
        <v>145</v>
      </c>
      <c r="E399" s="18" t="s">
        <v>289</v>
      </c>
      <c r="F399" s="17"/>
      <c r="G399" s="19">
        <f>G400</f>
        <v>100</v>
      </c>
      <c r="H399" s="19">
        <f>H400</f>
        <v>100</v>
      </c>
      <c r="I399" s="98">
        <f t="shared" si="19"/>
        <v>100</v>
      </c>
    </row>
    <row r="400" spans="1:9" s="2" customFormat="1" ht="110.25">
      <c r="A400" s="21"/>
      <c r="B400" s="31" t="s">
        <v>291</v>
      </c>
      <c r="C400" s="17" t="s">
        <v>132</v>
      </c>
      <c r="D400" s="17" t="s">
        <v>145</v>
      </c>
      <c r="E400" s="18" t="s">
        <v>290</v>
      </c>
      <c r="F400" s="17"/>
      <c r="G400" s="19">
        <f>G401</f>
        <v>100</v>
      </c>
      <c r="H400" s="19">
        <f>H401</f>
        <v>100</v>
      </c>
      <c r="I400" s="98">
        <f t="shared" si="19"/>
        <v>100</v>
      </c>
    </row>
    <row r="401" spans="1:9" s="2" customFormat="1" ht="31.5">
      <c r="A401" s="21"/>
      <c r="B401" s="16" t="s">
        <v>22</v>
      </c>
      <c r="C401" s="17" t="s">
        <v>132</v>
      </c>
      <c r="D401" s="17" t="s">
        <v>145</v>
      </c>
      <c r="E401" s="18" t="s">
        <v>290</v>
      </c>
      <c r="F401" s="17" t="s">
        <v>23</v>
      </c>
      <c r="G401" s="19">
        <v>100</v>
      </c>
      <c r="H401" s="48">
        <v>100</v>
      </c>
      <c r="I401" s="98">
        <f t="shared" si="19"/>
        <v>100</v>
      </c>
    </row>
    <row r="402" spans="1:9" s="3" customFormat="1" ht="15.75">
      <c r="A402" s="21"/>
      <c r="B402" s="16" t="s">
        <v>46</v>
      </c>
      <c r="C402" s="17" t="s">
        <v>132</v>
      </c>
      <c r="D402" s="17" t="s">
        <v>47</v>
      </c>
      <c r="E402" s="18"/>
      <c r="F402" s="17"/>
      <c r="G402" s="19">
        <f aca="true" t="shared" si="20" ref="G402:H406">G403</f>
        <v>30436.37373</v>
      </c>
      <c r="H402" s="19">
        <f t="shared" si="20"/>
        <v>30132.38701</v>
      </c>
      <c r="I402" s="98">
        <f t="shared" si="19"/>
        <v>99.00123870636938</v>
      </c>
    </row>
    <row r="403" spans="1:9" s="3" customFormat="1" ht="15.75">
      <c r="A403" s="21"/>
      <c r="B403" s="20" t="s">
        <v>48</v>
      </c>
      <c r="C403" s="17" t="s">
        <v>132</v>
      </c>
      <c r="D403" s="17" t="s">
        <v>49</v>
      </c>
      <c r="E403" s="18"/>
      <c r="F403" s="17"/>
      <c r="G403" s="19">
        <f t="shared" si="20"/>
        <v>30436.37373</v>
      </c>
      <c r="H403" s="19">
        <f t="shared" si="20"/>
        <v>30132.38701</v>
      </c>
      <c r="I403" s="98">
        <f t="shared" si="19"/>
        <v>99.00123870636938</v>
      </c>
    </row>
    <row r="404" spans="1:9" s="3" customFormat="1" ht="47.25">
      <c r="A404" s="21"/>
      <c r="B404" s="28" t="s">
        <v>170</v>
      </c>
      <c r="C404" s="17" t="s">
        <v>132</v>
      </c>
      <c r="D404" s="17" t="s">
        <v>49</v>
      </c>
      <c r="E404" s="18" t="s">
        <v>120</v>
      </c>
      <c r="F404" s="17"/>
      <c r="G404" s="19">
        <f t="shared" si="20"/>
        <v>30436.37373</v>
      </c>
      <c r="H404" s="19">
        <f t="shared" si="20"/>
        <v>30132.38701</v>
      </c>
      <c r="I404" s="98">
        <f t="shared" si="19"/>
        <v>99.00123870636938</v>
      </c>
    </row>
    <row r="405" spans="1:9" s="3" customFormat="1" ht="31.5">
      <c r="A405" s="21"/>
      <c r="B405" s="28" t="s">
        <v>298</v>
      </c>
      <c r="C405" s="17" t="s">
        <v>132</v>
      </c>
      <c r="D405" s="17" t="s">
        <v>49</v>
      </c>
      <c r="E405" s="18" t="s">
        <v>193</v>
      </c>
      <c r="F405" s="17"/>
      <c r="G405" s="19">
        <f t="shared" si="20"/>
        <v>30436.37373</v>
      </c>
      <c r="H405" s="19">
        <f t="shared" si="20"/>
        <v>30132.38701</v>
      </c>
      <c r="I405" s="98">
        <f t="shared" si="19"/>
        <v>99.00123870636938</v>
      </c>
    </row>
    <row r="406" spans="1:9" s="61" customFormat="1" ht="110.25">
      <c r="A406" s="37"/>
      <c r="B406" s="24" t="s">
        <v>334</v>
      </c>
      <c r="C406" s="17" t="s">
        <v>132</v>
      </c>
      <c r="D406" s="17" t="s">
        <v>49</v>
      </c>
      <c r="E406" s="36" t="s">
        <v>314</v>
      </c>
      <c r="F406" s="17"/>
      <c r="G406" s="19">
        <f t="shared" si="20"/>
        <v>30436.37373</v>
      </c>
      <c r="H406" s="19">
        <f t="shared" si="20"/>
        <v>30132.38701</v>
      </c>
      <c r="I406" s="98">
        <f t="shared" si="19"/>
        <v>99.00123870636938</v>
      </c>
    </row>
    <row r="407" spans="1:9" s="75" customFormat="1" ht="31.5">
      <c r="A407" s="21"/>
      <c r="B407" s="20" t="s">
        <v>51</v>
      </c>
      <c r="C407" s="17" t="s">
        <v>132</v>
      </c>
      <c r="D407" s="17" t="s">
        <v>49</v>
      </c>
      <c r="E407" s="36" t="s">
        <v>314</v>
      </c>
      <c r="F407" s="17" t="s">
        <v>52</v>
      </c>
      <c r="G407" s="19">
        <f>G408+G409+G410</f>
        <v>30436.37373</v>
      </c>
      <c r="H407" s="48">
        <v>30132.38701</v>
      </c>
      <c r="I407" s="98">
        <f t="shared" si="19"/>
        <v>99.00123870636938</v>
      </c>
    </row>
    <row r="408" spans="1:9" s="75" customFormat="1" ht="15.75">
      <c r="A408" s="21"/>
      <c r="B408" s="100" t="s">
        <v>229</v>
      </c>
      <c r="C408" s="17"/>
      <c r="D408" s="17"/>
      <c r="E408" s="36"/>
      <c r="F408" s="17"/>
      <c r="G408" s="38">
        <f>4510.1639+5888.10835-149.40986</f>
        <v>10248.86239</v>
      </c>
      <c r="H408" s="38">
        <f>4510.1639+5888.10835-149.40986</f>
        <v>10248.86239</v>
      </c>
      <c r="I408" s="98">
        <f t="shared" si="19"/>
        <v>100</v>
      </c>
    </row>
    <row r="409" spans="1:9" s="75" customFormat="1" ht="15.75">
      <c r="A409" s="21"/>
      <c r="B409" s="100" t="s">
        <v>195</v>
      </c>
      <c r="C409" s="17"/>
      <c r="D409" s="17"/>
      <c r="E409" s="36"/>
      <c r="F409" s="17"/>
      <c r="G409" s="38">
        <f>8131.23426+5906.86722+149.40986</f>
        <v>14187.511340000001</v>
      </c>
      <c r="H409" s="38">
        <f>8131.23426+5906.86722+149.40986</f>
        <v>14187.511340000001</v>
      </c>
      <c r="I409" s="98">
        <f t="shared" si="19"/>
        <v>100</v>
      </c>
    </row>
    <row r="410" spans="1:9" s="75" customFormat="1" ht="31.5">
      <c r="A410" s="21"/>
      <c r="B410" s="100" t="s">
        <v>286</v>
      </c>
      <c r="C410" s="17"/>
      <c r="D410" s="17"/>
      <c r="E410" s="36"/>
      <c r="F410" s="17"/>
      <c r="G410" s="38">
        <f>6000-452.55853+914.72112-462.16259</f>
        <v>6000</v>
      </c>
      <c r="H410" s="38">
        <f>6000-452.55853+914.72112-462.16259</f>
        <v>6000</v>
      </c>
      <c r="I410" s="98">
        <f t="shared" si="19"/>
        <v>100</v>
      </c>
    </row>
    <row r="411" spans="1:9" s="75" customFormat="1" ht="42" customHeight="1">
      <c r="A411" s="21"/>
      <c r="B411" s="99" t="s">
        <v>287</v>
      </c>
      <c r="C411" s="17"/>
      <c r="D411" s="17"/>
      <c r="E411" s="36"/>
      <c r="F411" s="17"/>
      <c r="G411" s="38">
        <v>914.72112</v>
      </c>
      <c r="H411" s="38">
        <v>914.72112</v>
      </c>
      <c r="I411" s="98">
        <f t="shared" si="19"/>
        <v>100</v>
      </c>
    </row>
    <row r="412" spans="1:9" s="5" customFormat="1" ht="15.75">
      <c r="A412" s="21"/>
      <c r="B412" s="37" t="s">
        <v>147</v>
      </c>
      <c r="C412" s="17" t="s">
        <v>132</v>
      </c>
      <c r="D412" s="17" t="s">
        <v>148</v>
      </c>
      <c r="E412" s="18"/>
      <c r="F412" s="17"/>
      <c r="G412" s="19">
        <f>G413</f>
        <v>20213.068939999997</v>
      </c>
      <c r="H412" s="19">
        <f>H413</f>
        <v>20209.11335</v>
      </c>
      <c r="I412" s="98">
        <f t="shared" si="19"/>
        <v>99.98043053228712</v>
      </c>
    </row>
    <row r="413" spans="1:9" s="5" customFormat="1" ht="15.75">
      <c r="A413" s="21"/>
      <c r="B413" s="37" t="s">
        <v>149</v>
      </c>
      <c r="C413" s="17" t="s">
        <v>132</v>
      </c>
      <c r="D413" s="17" t="s">
        <v>150</v>
      </c>
      <c r="E413" s="18"/>
      <c r="F413" s="17"/>
      <c r="G413" s="19">
        <f>G414+G422</f>
        <v>20213.068939999997</v>
      </c>
      <c r="H413" s="19">
        <f>H414+H422</f>
        <v>20209.11335</v>
      </c>
      <c r="I413" s="98">
        <f t="shared" si="19"/>
        <v>99.98043053228712</v>
      </c>
    </row>
    <row r="414" spans="1:9" s="76" customFormat="1" ht="47.25">
      <c r="A414" s="23"/>
      <c r="B414" s="16" t="s">
        <v>196</v>
      </c>
      <c r="C414" s="17" t="s">
        <v>132</v>
      </c>
      <c r="D414" s="17" t="s">
        <v>150</v>
      </c>
      <c r="E414" s="18" t="s">
        <v>136</v>
      </c>
      <c r="F414" s="17"/>
      <c r="G414" s="19">
        <f>G415</f>
        <v>421.74276</v>
      </c>
      <c r="H414" s="19">
        <f>H415</f>
        <v>421.74276000000003</v>
      </c>
      <c r="I414" s="98">
        <f t="shared" si="19"/>
        <v>100.00000000000003</v>
      </c>
    </row>
    <row r="415" spans="1:9" s="2" customFormat="1" ht="47.25">
      <c r="A415" s="23"/>
      <c r="B415" s="31" t="s">
        <v>181</v>
      </c>
      <c r="C415" s="17" t="s">
        <v>132</v>
      </c>
      <c r="D415" s="17" t="s">
        <v>150</v>
      </c>
      <c r="E415" s="18" t="s">
        <v>153</v>
      </c>
      <c r="F415" s="17"/>
      <c r="G415" s="19">
        <f>G416+G418</f>
        <v>421.74276</v>
      </c>
      <c r="H415" s="19">
        <f>H416+H418</f>
        <v>421.74276000000003</v>
      </c>
      <c r="I415" s="98">
        <f t="shared" si="19"/>
        <v>100.00000000000003</v>
      </c>
    </row>
    <row r="416" spans="1:9" s="2" customFormat="1" ht="141.75">
      <c r="A416" s="23"/>
      <c r="B416" s="31" t="s">
        <v>307</v>
      </c>
      <c r="C416" s="17" t="s">
        <v>132</v>
      </c>
      <c r="D416" s="17" t="s">
        <v>150</v>
      </c>
      <c r="E416" s="18" t="s">
        <v>154</v>
      </c>
      <c r="F416" s="17"/>
      <c r="G416" s="19">
        <f>G417</f>
        <v>305.19775999999996</v>
      </c>
      <c r="H416" s="19">
        <f>H417</f>
        <v>305.19776</v>
      </c>
      <c r="I416" s="98">
        <f t="shared" si="19"/>
        <v>100.00000000000003</v>
      </c>
    </row>
    <row r="417" spans="1:9" s="2" customFormat="1" ht="31.5">
      <c r="A417" s="34"/>
      <c r="B417" s="16" t="s">
        <v>22</v>
      </c>
      <c r="C417" s="17" t="s">
        <v>132</v>
      </c>
      <c r="D417" s="17" t="s">
        <v>150</v>
      </c>
      <c r="E417" s="18" t="s">
        <v>154</v>
      </c>
      <c r="F417" s="17" t="s">
        <v>23</v>
      </c>
      <c r="G417" s="19">
        <f>100+225-51.314+31.51176</f>
        <v>305.19775999999996</v>
      </c>
      <c r="H417" s="48">
        <v>305.19776</v>
      </c>
      <c r="I417" s="98">
        <f t="shared" si="19"/>
        <v>100.00000000000003</v>
      </c>
    </row>
    <row r="418" spans="1:9" s="2" customFormat="1" ht="126">
      <c r="A418" s="23"/>
      <c r="B418" s="31" t="s">
        <v>197</v>
      </c>
      <c r="C418" s="17" t="s">
        <v>132</v>
      </c>
      <c r="D418" s="17" t="s">
        <v>150</v>
      </c>
      <c r="E418" s="18" t="s">
        <v>182</v>
      </c>
      <c r="F418" s="17"/>
      <c r="G418" s="19">
        <f>G419</f>
        <v>116.545</v>
      </c>
      <c r="H418" s="19">
        <f>H419</f>
        <v>116.545</v>
      </c>
      <c r="I418" s="98">
        <f t="shared" si="19"/>
        <v>100</v>
      </c>
    </row>
    <row r="419" spans="1:9" s="2" customFormat="1" ht="31.5">
      <c r="A419" s="34"/>
      <c r="B419" s="16" t="s">
        <v>22</v>
      </c>
      <c r="C419" s="17" t="s">
        <v>132</v>
      </c>
      <c r="D419" s="17" t="s">
        <v>150</v>
      </c>
      <c r="E419" s="18" t="s">
        <v>182</v>
      </c>
      <c r="F419" s="17" t="s">
        <v>23</v>
      </c>
      <c r="G419" s="19">
        <f>100+75-26.94324-31.51176</f>
        <v>116.545</v>
      </c>
      <c r="H419" s="48">
        <v>116.545</v>
      </c>
      <c r="I419" s="98">
        <f t="shared" si="19"/>
        <v>100</v>
      </c>
    </row>
    <row r="420" spans="1:9" s="2" customFormat="1" ht="15.75">
      <c r="A420" s="34"/>
      <c r="B420" s="16" t="s">
        <v>11</v>
      </c>
      <c r="C420" s="17" t="s">
        <v>132</v>
      </c>
      <c r="D420" s="17" t="s">
        <v>150</v>
      </c>
      <c r="E420" s="18" t="s">
        <v>12</v>
      </c>
      <c r="F420" s="17"/>
      <c r="G420" s="19">
        <f>G421</f>
        <v>19791.326179999996</v>
      </c>
      <c r="H420" s="19">
        <f>H421</f>
        <v>19787.37059</v>
      </c>
      <c r="I420" s="98">
        <f t="shared" si="19"/>
        <v>99.98001351721445</v>
      </c>
    </row>
    <row r="421" spans="1:9" s="2" customFormat="1" ht="78.75">
      <c r="A421" s="34"/>
      <c r="B421" s="16" t="s">
        <v>151</v>
      </c>
      <c r="C421" s="17" t="s">
        <v>132</v>
      </c>
      <c r="D421" s="17" t="s">
        <v>150</v>
      </c>
      <c r="E421" s="18" t="s">
        <v>152</v>
      </c>
      <c r="F421" s="17"/>
      <c r="G421" s="19">
        <f>G422</f>
        <v>19791.326179999996</v>
      </c>
      <c r="H421" s="19">
        <f>H422</f>
        <v>19787.37059</v>
      </c>
      <c r="I421" s="98">
        <f t="shared" si="19"/>
        <v>99.98001351721445</v>
      </c>
    </row>
    <row r="422" spans="1:9" s="2" customFormat="1" ht="47.25">
      <c r="A422" s="34"/>
      <c r="B422" s="16" t="s">
        <v>63</v>
      </c>
      <c r="C422" s="17" t="s">
        <v>132</v>
      </c>
      <c r="D422" s="17" t="s">
        <v>150</v>
      </c>
      <c r="E422" s="18" t="s">
        <v>152</v>
      </c>
      <c r="F422" s="17" t="s">
        <v>64</v>
      </c>
      <c r="G422" s="19">
        <f>18463.07173+530.01019-157.28241+1204.5-1049.38678+375.743+224.25045+0.42+200</f>
        <v>19791.326179999996</v>
      </c>
      <c r="H422" s="48">
        <v>19787.37059</v>
      </c>
      <c r="I422" s="98">
        <f t="shared" si="19"/>
        <v>99.98001351721445</v>
      </c>
    </row>
    <row r="423" spans="1:9" s="2" customFormat="1" ht="31.5">
      <c r="A423" s="34"/>
      <c r="B423" s="104" t="s">
        <v>297</v>
      </c>
      <c r="C423" s="17"/>
      <c r="D423" s="17"/>
      <c r="E423" s="18"/>
      <c r="F423" s="17"/>
      <c r="G423" s="38">
        <v>600</v>
      </c>
      <c r="H423" s="38">
        <v>600</v>
      </c>
      <c r="I423" s="98">
        <f t="shared" si="19"/>
        <v>100</v>
      </c>
    </row>
    <row r="424" spans="1:9" s="2" customFormat="1" ht="47.25">
      <c r="A424" s="34"/>
      <c r="B424" s="99" t="s">
        <v>335</v>
      </c>
      <c r="C424" s="17"/>
      <c r="D424" s="17"/>
      <c r="E424" s="18"/>
      <c r="F424" s="17"/>
      <c r="G424" s="38">
        <v>1580.243</v>
      </c>
      <c r="H424" s="38">
        <v>1580.243</v>
      </c>
      <c r="I424" s="98">
        <f t="shared" si="19"/>
        <v>100</v>
      </c>
    </row>
    <row r="425" spans="1:9" s="2" customFormat="1" ht="110.25">
      <c r="A425" s="34"/>
      <c r="B425" s="100" t="s">
        <v>336</v>
      </c>
      <c r="C425" s="17"/>
      <c r="D425" s="17"/>
      <c r="E425" s="18"/>
      <c r="F425" s="17"/>
      <c r="G425" s="38">
        <v>200</v>
      </c>
      <c r="H425" s="38">
        <v>200</v>
      </c>
      <c r="I425" s="98">
        <f t="shared" si="19"/>
        <v>100</v>
      </c>
    </row>
    <row r="426" spans="1:9" ht="31.5">
      <c r="A426" s="44">
        <v>9</v>
      </c>
      <c r="B426" s="67" t="s">
        <v>155</v>
      </c>
      <c r="C426" s="73" t="s">
        <v>156</v>
      </c>
      <c r="D426" s="73"/>
      <c r="E426" s="68"/>
      <c r="F426" s="73"/>
      <c r="G426" s="69">
        <f>G427+G461</f>
        <v>52678.08274</v>
      </c>
      <c r="H426" s="69">
        <f>H427+H461</f>
        <v>51501.25758</v>
      </c>
      <c r="I426" s="98">
        <f t="shared" si="19"/>
        <v>97.76600609060056</v>
      </c>
    </row>
    <row r="427" spans="1:9" s="2" customFormat="1" ht="15.75">
      <c r="A427" s="21"/>
      <c r="B427" s="16" t="s">
        <v>7</v>
      </c>
      <c r="C427" s="17" t="s">
        <v>156</v>
      </c>
      <c r="D427" s="17" t="s">
        <v>8</v>
      </c>
      <c r="E427" s="18"/>
      <c r="F427" s="17"/>
      <c r="G427" s="19">
        <f>G428+G440+G436</f>
        <v>51565.716739999996</v>
      </c>
      <c r="H427" s="19">
        <f>H428+H440+H436</f>
        <v>50389.40906</v>
      </c>
      <c r="I427" s="98">
        <f t="shared" si="19"/>
        <v>97.71881832665863</v>
      </c>
    </row>
    <row r="428" spans="1:9" s="2" customFormat="1" ht="63">
      <c r="A428" s="21"/>
      <c r="B428" s="16" t="s">
        <v>36</v>
      </c>
      <c r="C428" s="17" t="s">
        <v>156</v>
      </c>
      <c r="D428" s="17" t="s">
        <v>37</v>
      </c>
      <c r="E428" s="18" t="s">
        <v>19</v>
      </c>
      <c r="F428" s="17" t="s">
        <v>19</v>
      </c>
      <c r="G428" s="19">
        <f>G429</f>
        <v>24482.52223</v>
      </c>
      <c r="H428" s="19">
        <f>H429</f>
        <v>24440.72821</v>
      </c>
      <c r="I428" s="98">
        <f t="shared" si="19"/>
        <v>99.82929038271725</v>
      </c>
    </row>
    <row r="429" spans="1:9" s="2" customFormat="1" ht="15.75">
      <c r="A429" s="21"/>
      <c r="B429" s="16" t="s">
        <v>11</v>
      </c>
      <c r="C429" s="17" t="s">
        <v>156</v>
      </c>
      <c r="D429" s="17" t="s">
        <v>37</v>
      </c>
      <c r="E429" s="18" t="s">
        <v>12</v>
      </c>
      <c r="F429" s="17"/>
      <c r="G429" s="19">
        <f>G430+G434</f>
        <v>24482.52223</v>
      </c>
      <c r="H429" s="19">
        <f>H430+H434</f>
        <v>24440.72821</v>
      </c>
      <c r="I429" s="98">
        <f t="shared" si="19"/>
        <v>99.82929038271725</v>
      </c>
    </row>
    <row r="430" spans="1:9" s="2" customFormat="1" ht="78.75">
      <c r="A430" s="21"/>
      <c r="B430" s="16" t="s">
        <v>20</v>
      </c>
      <c r="C430" s="17" t="s">
        <v>156</v>
      </c>
      <c r="D430" s="17" t="s">
        <v>37</v>
      </c>
      <c r="E430" s="18" t="s">
        <v>21</v>
      </c>
      <c r="F430" s="17"/>
      <c r="G430" s="19">
        <f>G431+G432+G433</f>
        <v>24055.42223</v>
      </c>
      <c r="H430" s="19">
        <f>H431+H432+H433</f>
        <v>24013.628210000003</v>
      </c>
      <c r="I430" s="98">
        <f t="shared" si="19"/>
        <v>99.8262594620024</v>
      </c>
    </row>
    <row r="431" spans="1:9" s="2" customFormat="1" ht="78.75">
      <c r="A431" s="21"/>
      <c r="B431" s="16" t="s">
        <v>15</v>
      </c>
      <c r="C431" s="17" t="s">
        <v>156</v>
      </c>
      <c r="D431" s="17" t="s">
        <v>37</v>
      </c>
      <c r="E431" s="18" t="s">
        <v>21</v>
      </c>
      <c r="F431" s="17" t="s">
        <v>16</v>
      </c>
      <c r="G431" s="19">
        <v>23128.35525</v>
      </c>
      <c r="H431" s="48">
        <v>23128.35525</v>
      </c>
      <c r="I431" s="98">
        <f t="shared" si="19"/>
        <v>100</v>
      </c>
    </row>
    <row r="432" spans="1:9" s="2" customFormat="1" ht="31.5">
      <c r="A432" s="21"/>
      <c r="B432" s="16" t="s">
        <v>22</v>
      </c>
      <c r="C432" s="17" t="s">
        <v>156</v>
      </c>
      <c r="D432" s="17" t="s">
        <v>37</v>
      </c>
      <c r="E432" s="18" t="s">
        <v>21</v>
      </c>
      <c r="F432" s="17" t="s">
        <v>23</v>
      </c>
      <c r="G432" s="19">
        <f>1155.672-250+19</f>
        <v>924.672</v>
      </c>
      <c r="H432" s="48">
        <v>883.78367</v>
      </c>
      <c r="I432" s="98">
        <f t="shared" si="19"/>
        <v>95.57807200823643</v>
      </c>
    </row>
    <row r="433" spans="1:9" s="2" customFormat="1" ht="15.75">
      <c r="A433" s="21"/>
      <c r="B433" s="16" t="s">
        <v>24</v>
      </c>
      <c r="C433" s="17" t="s">
        <v>156</v>
      </c>
      <c r="D433" s="17" t="s">
        <v>37</v>
      </c>
      <c r="E433" s="18" t="s">
        <v>21</v>
      </c>
      <c r="F433" s="17" t="s">
        <v>25</v>
      </c>
      <c r="G433" s="19">
        <v>2.39498</v>
      </c>
      <c r="H433" s="48">
        <v>1.48929</v>
      </c>
      <c r="I433" s="98">
        <f t="shared" si="19"/>
        <v>62.183817818937946</v>
      </c>
    </row>
    <row r="434" spans="1:9" s="3" customFormat="1" ht="47.25" customHeight="1">
      <c r="A434" s="21"/>
      <c r="B434" s="16" t="s">
        <v>328</v>
      </c>
      <c r="C434" s="17" t="s">
        <v>156</v>
      </c>
      <c r="D434" s="17" t="s">
        <v>37</v>
      </c>
      <c r="E434" s="18" t="s">
        <v>157</v>
      </c>
      <c r="F434" s="17"/>
      <c r="G434" s="19">
        <f>G435</f>
        <v>427.09999999999997</v>
      </c>
      <c r="H434" s="19">
        <f>H435</f>
        <v>427.1</v>
      </c>
      <c r="I434" s="98">
        <f t="shared" si="19"/>
        <v>100.00000000000003</v>
      </c>
    </row>
    <row r="435" spans="1:9" s="3" customFormat="1" ht="15.75" customHeight="1">
      <c r="A435" s="21"/>
      <c r="B435" s="16" t="s">
        <v>22</v>
      </c>
      <c r="C435" s="17" t="s">
        <v>156</v>
      </c>
      <c r="D435" s="17" t="s">
        <v>37</v>
      </c>
      <c r="E435" s="18" t="s">
        <v>157</v>
      </c>
      <c r="F435" s="17" t="s">
        <v>23</v>
      </c>
      <c r="G435" s="19">
        <f>409.4+17.7</f>
        <v>427.09999999999997</v>
      </c>
      <c r="H435" s="48">
        <v>427.1</v>
      </c>
      <c r="I435" s="98">
        <f t="shared" si="19"/>
        <v>100.00000000000003</v>
      </c>
    </row>
    <row r="436" spans="1:9" s="3" customFormat="1" ht="15.75" customHeight="1">
      <c r="A436" s="21"/>
      <c r="B436" s="16" t="s">
        <v>329</v>
      </c>
      <c r="C436" s="17" t="s">
        <v>156</v>
      </c>
      <c r="D436" s="17" t="s">
        <v>330</v>
      </c>
      <c r="E436" s="18"/>
      <c r="F436" s="17"/>
      <c r="G436" s="19">
        <f aca="true" t="shared" si="21" ref="G436:H438">G437</f>
        <v>3196.2</v>
      </c>
      <c r="H436" s="19">
        <f t="shared" si="21"/>
        <v>3196.2</v>
      </c>
      <c r="I436" s="98">
        <f t="shared" si="19"/>
        <v>100</v>
      </c>
    </row>
    <row r="437" spans="1:9" s="3" customFormat="1" ht="15.75" customHeight="1">
      <c r="A437" s="21"/>
      <c r="B437" s="16" t="s">
        <v>11</v>
      </c>
      <c r="C437" s="17" t="s">
        <v>156</v>
      </c>
      <c r="D437" s="17" t="s">
        <v>330</v>
      </c>
      <c r="E437" s="18" t="s">
        <v>12</v>
      </c>
      <c r="F437" s="17"/>
      <c r="G437" s="19">
        <f t="shared" si="21"/>
        <v>3196.2</v>
      </c>
      <c r="H437" s="19">
        <f t="shared" si="21"/>
        <v>3196.2</v>
      </c>
      <c r="I437" s="98">
        <f t="shared" si="19"/>
        <v>100</v>
      </c>
    </row>
    <row r="438" spans="1:9" s="3" customFormat="1" ht="15.75" customHeight="1">
      <c r="A438" s="21"/>
      <c r="B438" s="16" t="s">
        <v>331</v>
      </c>
      <c r="C438" s="17" t="s">
        <v>156</v>
      </c>
      <c r="D438" s="17" t="s">
        <v>330</v>
      </c>
      <c r="E438" s="18" t="s">
        <v>332</v>
      </c>
      <c r="F438" s="17"/>
      <c r="G438" s="19">
        <f t="shared" si="21"/>
        <v>3196.2</v>
      </c>
      <c r="H438" s="19">
        <f t="shared" si="21"/>
        <v>3196.2</v>
      </c>
      <c r="I438" s="98">
        <f t="shared" si="19"/>
        <v>100</v>
      </c>
    </row>
    <row r="439" spans="1:9" s="3" customFormat="1" ht="15.75" customHeight="1">
      <c r="A439" s="21"/>
      <c r="B439" s="16" t="s">
        <v>24</v>
      </c>
      <c r="C439" s="17" t="s">
        <v>156</v>
      </c>
      <c r="D439" s="17" t="s">
        <v>330</v>
      </c>
      <c r="E439" s="18" t="s">
        <v>332</v>
      </c>
      <c r="F439" s="17" t="s">
        <v>25</v>
      </c>
      <c r="G439" s="19">
        <f>3196.2</f>
        <v>3196.2</v>
      </c>
      <c r="H439" s="48">
        <v>3196.2</v>
      </c>
      <c r="I439" s="98">
        <f t="shared" si="19"/>
        <v>100</v>
      </c>
    </row>
    <row r="440" spans="1:9" s="2" customFormat="1" ht="15.75">
      <c r="A440" s="21"/>
      <c r="B440" s="16" t="s">
        <v>44</v>
      </c>
      <c r="C440" s="17" t="s">
        <v>156</v>
      </c>
      <c r="D440" s="17" t="s">
        <v>45</v>
      </c>
      <c r="E440" s="18"/>
      <c r="F440" s="17"/>
      <c r="G440" s="19">
        <f>G441+G455</f>
        <v>23886.99451</v>
      </c>
      <c r="H440" s="19">
        <f>H441+H455</f>
        <v>22752.48085</v>
      </c>
      <c r="I440" s="98">
        <f t="shared" si="19"/>
        <v>95.25049641751686</v>
      </c>
    </row>
    <row r="441" spans="1:9" s="3" customFormat="1" ht="63">
      <c r="A441" s="21"/>
      <c r="B441" s="16" t="s">
        <v>242</v>
      </c>
      <c r="C441" s="17" t="s">
        <v>156</v>
      </c>
      <c r="D441" s="17" t="s">
        <v>45</v>
      </c>
      <c r="E441" s="18" t="s">
        <v>103</v>
      </c>
      <c r="F441" s="17"/>
      <c r="G441" s="19">
        <f>G442+G452</f>
        <v>1614.38</v>
      </c>
      <c r="H441" s="19">
        <f>H442+H452</f>
        <v>1464.85465</v>
      </c>
      <c r="I441" s="98">
        <f t="shared" si="19"/>
        <v>90.73790867082099</v>
      </c>
    </row>
    <row r="442" spans="1:9" s="3" customFormat="1" ht="63">
      <c r="A442" s="21"/>
      <c r="B442" s="24" t="s">
        <v>198</v>
      </c>
      <c r="C442" s="17" t="s">
        <v>156</v>
      </c>
      <c r="D442" s="17" t="s">
        <v>45</v>
      </c>
      <c r="E442" s="18" t="s">
        <v>199</v>
      </c>
      <c r="F442" s="17"/>
      <c r="G442" s="19">
        <f>G443+G446+G449</f>
        <v>1584.38</v>
      </c>
      <c r="H442" s="19">
        <f>H443+H446+H449</f>
        <v>1434.85465</v>
      </c>
      <c r="I442" s="98">
        <f t="shared" si="19"/>
        <v>90.56253234703794</v>
      </c>
    </row>
    <row r="443" spans="1:9" s="3" customFormat="1" ht="94.5">
      <c r="A443" s="21"/>
      <c r="B443" s="24" t="s">
        <v>234</v>
      </c>
      <c r="C443" s="17" t="s">
        <v>156</v>
      </c>
      <c r="D443" s="17" t="s">
        <v>45</v>
      </c>
      <c r="E443" s="18" t="s">
        <v>253</v>
      </c>
      <c r="F443" s="17"/>
      <c r="G443" s="19">
        <f>G444+G445</f>
        <v>150</v>
      </c>
      <c r="H443" s="19">
        <f>H444+H445</f>
        <v>150</v>
      </c>
      <c r="I443" s="98">
        <f t="shared" si="19"/>
        <v>100</v>
      </c>
    </row>
    <row r="444" spans="1:9" s="3" customFormat="1" ht="78.75">
      <c r="A444" s="21"/>
      <c r="B444" s="16" t="s">
        <v>15</v>
      </c>
      <c r="C444" s="17" t="s">
        <v>156</v>
      </c>
      <c r="D444" s="17" t="s">
        <v>45</v>
      </c>
      <c r="E444" s="18" t="s">
        <v>253</v>
      </c>
      <c r="F444" s="17" t="s">
        <v>16</v>
      </c>
      <c r="G444" s="19">
        <v>145</v>
      </c>
      <c r="H444" s="48">
        <v>145</v>
      </c>
      <c r="I444" s="98">
        <f t="shared" si="19"/>
        <v>100</v>
      </c>
    </row>
    <row r="445" spans="1:9" s="3" customFormat="1" ht="31.5">
      <c r="A445" s="21"/>
      <c r="B445" s="16" t="s">
        <v>22</v>
      </c>
      <c r="C445" s="17" t="s">
        <v>156</v>
      </c>
      <c r="D445" s="17" t="s">
        <v>45</v>
      </c>
      <c r="E445" s="18" t="s">
        <v>253</v>
      </c>
      <c r="F445" s="17" t="s">
        <v>23</v>
      </c>
      <c r="G445" s="19">
        <v>5</v>
      </c>
      <c r="H445" s="48">
        <v>5</v>
      </c>
      <c r="I445" s="98">
        <f t="shared" si="19"/>
        <v>100</v>
      </c>
    </row>
    <row r="446" spans="1:9" s="3" customFormat="1" ht="126">
      <c r="A446" s="21"/>
      <c r="B446" s="24" t="s">
        <v>326</v>
      </c>
      <c r="C446" s="17" t="s">
        <v>156</v>
      </c>
      <c r="D446" s="17" t="s">
        <v>45</v>
      </c>
      <c r="E446" s="18" t="s">
        <v>315</v>
      </c>
      <c r="F446" s="17"/>
      <c r="G446" s="19">
        <f>G447+G448</f>
        <v>150</v>
      </c>
      <c r="H446" s="19">
        <f>H447+H448</f>
        <v>150</v>
      </c>
      <c r="I446" s="98">
        <f t="shared" si="19"/>
        <v>100</v>
      </c>
    </row>
    <row r="447" spans="1:9" s="3" customFormat="1" ht="78.75">
      <c r="A447" s="21"/>
      <c r="B447" s="16" t="s">
        <v>15</v>
      </c>
      <c r="C447" s="17" t="s">
        <v>156</v>
      </c>
      <c r="D447" s="17" t="s">
        <v>45</v>
      </c>
      <c r="E447" s="18" t="s">
        <v>315</v>
      </c>
      <c r="F447" s="17" t="s">
        <v>16</v>
      </c>
      <c r="G447" s="19">
        <v>145</v>
      </c>
      <c r="H447" s="50">
        <v>145</v>
      </c>
      <c r="I447" s="98">
        <f t="shared" si="19"/>
        <v>100</v>
      </c>
    </row>
    <row r="448" spans="1:9" s="3" customFormat="1" ht="31.5">
      <c r="A448" s="21"/>
      <c r="B448" s="16" t="s">
        <v>22</v>
      </c>
      <c r="C448" s="17" t="s">
        <v>156</v>
      </c>
      <c r="D448" s="17" t="s">
        <v>45</v>
      </c>
      <c r="E448" s="18" t="s">
        <v>315</v>
      </c>
      <c r="F448" s="17" t="s">
        <v>23</v>
      </c>
      <c r="G448" s="19">
        <v>5</v>
      </c>
      <c r="H448" s="50">
        <v>5</v>
      </c>
      <c r="I448" s="98">
        <f t="shared" si="19"/>
        <v>100</v>
      </c>
    </row>
    <row r="449" spans="1:9" s="3" customFormat="1" ht="126">
      <c r="A449" s="21"/>
      <c r="B449" s="24" t="s">
        <v>104</v>
      </c>
      <c r="C449" s="17" t="s">
        <v>156</v>
      </c>
      <c r="D449" s="17" t="s">
        <v>45</v>
      </c>
      <c r="E449" s="18" t="s">
        <v>200</v>
      </c>
      <c r="F449" s="103"/>
      <c r="G449" s="19">
        <f>G450</f>
        <v>1284.38</v>
      </c>
      <c r="H449" s="19" t="str">
        <f>H450</f>
        <v>1134,85465</v>
      </c>
      <c r="I449" s="98">
        <f t="shared" si="19"/>
        <v>88.35816892197013</v>
      </c>
    </row>
    <row r="450" spans="1:9" s="3" customFormat="1" ht="31.5">
      <c r="A450" s="21"/>
      <c r="B450" s="16" t="s">
        <v>22</v>
      </c>
      <c r="C450" s="17" t="s">
        <v>156</v>
      </c>
      <c r="D450" s="17" t="s">
        <v>45</v>
      </c>
      <c r="E450" s="18" t="s">
        <v>200</v>
      </c>
      <c r="F450" s="17" t="s">
        <v>23</v>
      </c>
      <c r="G450" s="19">
        <f>1300+116+100+180-180-231.62</f>
        <v>1284.38</v>
      </c>
      <c r="H450" s="52" t="s">
        <v>394</v>
      </c>
      <c r="I450" s="98">
        <f t="shared" si="19"/>
        <v>88.35816892197013</v>
      </c>
    </row>
    <row r="451" spans="1:9" s="3" customFormat="1" ht="63">
      <c r="A451" s="21"/>
      <c r="B451" s="99" t="s">
        <v>287</v>
      </c>
      <c r="C451" s="17"/>
      <c r="D451" s="17"/>
      <c r="E451" s="18"/>
      <c r="F451" s="17"/>
      <c r="G451" s="38">
        <v>249.92145</v>
      </c>
      <c r="H451" s="38">
        <v>249.92145</v>
      </c>
      <c r="I451" s="98">
        <f t="shared" si="19"/>
        <v>100</v>
      </c>
    </row>
    <row r="452" spans="1:9" s="3" customFormat="1" ht="31.5">
      <c r="A452" s="21"/>
      <c r="B452" s="16" t="s">
        <v>201</v>
      </c>
      <c r="C452" s="17" t="s">
        <v>156</v>
      </c>
      <c r="D452" s="17" t="s">
        <v>45</v>
      </c>
      <c r="E452" s="18" t="s">
        <v>203</v>
      </c>
      <c r="F452" s="17"/>
      <c r="G452" s="19">
        <f>G453</f>
        <v>30</v>
      </c>
      <c r="H452" s="19">
        <f>H453</f>
        <v>30</v>
      </c>
      <c r="I452" s="98">
        <f t="shared" si="19"/>
        <v>100</v>
      </c>
    </row>
    <row r="453" spans="1:9" s="3" customFormat="1" ht="173.25">
      <c r="A453" s="21"/>
      <c r="B453" s="28" t="s">
        <v>158</v>
      </c>
      <c r="C453" s="17" t="s">
        <v>156</v>
      </c>
      <c r="D453" s="17" t="s">
        <v>45</v>
      </c>
      <c r="E453" s="18" t="s">
        <v>202</v>
      </c>
      <c r="F453" s="17"/>
      <c r="G453" s="19">
        <f>G454</f>
        <v>30</v>
      </c>
      <c r="H453" s="19">
        <f>H454</f>
        <v>30</v>
      </c>
      <c r="I453" s="98">
        <f t="shared" si="19"/>
        <v>100</v>
      </c>
    </row>
    <row r="454" spans="1:9" s="3" customFormat="1" ht="31.5">
      <c r="A454" s="21"/>
      <c r="B454" s="16" t="s">
        <v>22</v>
      </c>
      <c r="C454" s="17" t="s">
        <v>156</v>
      </c>
      <c r="D454" s="17" t="s">
        <v>45</v>
      </c>
      <c r="E454" s="18" t="s">
        <v>202</v>
      </c>
      <c r="F454" s="17" t="s">
        <v>23</v>
      </c>
      <c r="G454" s="19">
        <f>80-50</f>
        <v>30</v>
      </c>
      <c r="H454" s="51">
        <v>30</v>
      </c>
      <c r="I454" s="98">
        <f t="shared" si="19"/>
        <v>100</v>
      </c>
    </row>
    <row r="455" spans="1:9" s="3" customFormat="1" ht="15.75">
      <c r="A455" s="21"/>
      <c r="B455" s="16" t="s">
        <v>11</v>
      </c>
      <c r="C455" s="17" t="s">
        <v>156</v>
      </c>
      <c r="D455" s="17" t="s">
        <v>45</v>
      </c>
      <c r="E455" s="18" t="s">
        <v>12</v>
      </c>
      <c r="F455" s="17"/>
      <c r="G455" s="19">
        <f>G456</f>
        <v>22272.61451</v>
      </c>
      <c r="H455" s="19">
        <f>H456</f>
        <v>21287.6262</v>
      </c>
      <c r="I455" s="98">
        <f t="shared" si="19"/>
        <v>95.57758111622792</v>
      </c>
    </row>
    <row r="456" spans="1:9" s="3" customFormat="1" ht="78.75">
      <c r="A456" s="21"/>
      <c r="B456" s="16" t="s">
        <v>164</v>
      </c>
      <c r="C456" s="17" t="s">
        <v>156</v>
      </c>
      <c r="D456" s="17" t="s">
        <v>45</v>
      </c>
      <c r="E456" s="18" t="s">
        <v>165</v>
      </c>
      <c r="F456" s="17"/>
      <c r="G456" s="19">
        <f>G457+G458+G460</f>
        <v>22272.61451</v>
      </c>
      <c r="H456" s="19">
        <f>H457+H458+H460</f>
        <v>21287.6262</v>
      </c>
      <c r="I456" s="98">
        <f t="shared" si="19"/>
        <v>95.57758111622792</v>
      </c>
    </row>
    <row r="457" spans="1:9" s="3" customFormat="1" ht="78.75">
      <c r="A457" s="21"/>
      <c r="B457" s="16" t="s">
        <v>15</v>
      </c>
      <c r="C457" s="17" t="s">
        <v>156</v>
      </c>
      <c r="D457" s="17" t="s">
        <v>45</v>
      </c>
      <c r="E457" s="18" t="s">
        <v>165</v>
      </c>
      <c r="F457" s="17" t="s">
        <v>16</v>
      </c>
      <c r="G457" s="19">
        <v>14234.28243</v>
      </c>
      <c r="H457" s="52" t="s">
        <v>395</v>
      </c>
      <c r="I457" s="98">
        <f t="shared" si="19"/>
        <v>100</v>
      </c>
    </row>
    <row r="458" spans="1:9" s="3" customFormat="1" ht="31.5">
      <c r="A458" s="21"/>
      <c r="B458" s="16" t="s">
        <v>22</v>
      </c>
      <c r="C458" s="17" t="s">
        <v>156</v>
      </c>
      <c r="D458" s="17" t="s">
        <v>45</v>
      </c>
      <c r="E458" s="18" t="s">
        <v>165</v>
      </c>
      <c r="F458" s="17" t="s">
        <v>23</v>
      </c>
      <c r="G458" s="19">
        <v>7871.67688</v>
      </c>
      <c r="H458" s="52" t="s">
        <v>396</v>
      </c>
      <c r="I458" s="98">
        <f t="shared" si="19"/>
        <v>87.51945900502969</v>
      </c>
    </row>
    <row r="459" spans="1:9" s="3" customFormat="1" ht="31.5">
      <c r="A459" s="21"/>
      <c r="B459" s="104" t="s">
        <v>297</v>
      </c>
      <c r="C459" s="17"/>
      <c r="D459" s="17"/>
      <c r="E459" s="18"/>
      <c r="F459" s="17"/>
      <c r="G459" s="38">
        <f>1000-187.885</f>
        <v>812.115</v>
      </c>
      <c r="H459" s="38">
        <f>1000-187.885</f>
        <v>812.115</v>
      </c>
      <c r="I459" s="98">
        <f t="shared" si="19"/>
        <v>100</v>
      </c>
    </row>
    <row r="460" spans="1:9" s="3" customFormat="1" ht="15.75">
      <c r="A460" s="21"/>
      <c r="B460" s="16" t="s">
        <v>24</v>
      </c>
      <c r="C460" s="17" t="s">
        <v>156</v>
      </c>
      <c r="D460" s="17" t="s">
        <v>45</v>
      </c>
      <c r="E460" s="18" t="s">
        <v>165</v>
      </c>
      <c r="F460" s="17" t="s">
        <v>25</v>
      </c>
      <c r="G460" s="19">
        <v>166.6552</v>
      </c>
      <c r="H460" s="52" t="s">
        <v>397</v>
      </c>
      <c r="I460" s="98">
        <f t="shared" si="19"/>
        <v>98.46362429735166</v>
      </c>
    </row>
    <row r="461" spans="1:9" s="10" customFormat="1" ht="31.5">
      <c r="A461" s="25"/>
      <c r="B461" s="16" t="s">
        <v>159</v>
      </c>
      <c r="C461" s="17" t="s">
        <v>156</v>
      </c>
      <c r="D461" s="17" t="s">
        <v>160</v>
      </c>
      <c r="E461" s="18"/>
      <c r="F461" s="17"/>
      <c r="G461" s="19">
        <f>G462</f>
        <v>1112.366</v>
      </c>
      <c r="H461" s="19">
        <f>H462</f>
        <v>1111.84852</v>
      </c>
      <c r="I461" s="98">
        <f t="shared" si="19"/>
        <v>99.95347934043292</v>
      </c>
    </row>
    <row r="462" spans="1:9" s="2" customFormat="1" ht="36.75" customHeight="1">
      <c r="A462" s="15"/>
      <c r="B462" s="20" t="s">
        <v>247</v>
      </c>
      <c r="C462" s="17" t="s">
        <v>156</v>
      </c>
      <c r="D462" s="17" t="s">
        <v>248</v>
      </c>
      <c r="E462" s="18"/>
      <c r="F462" s="17"/>
      <c r="G462" s="19">
        <f>G463+G470</f>
        <v>1112.366</v>
      </c>
      <c r="H462" s="19">
        <f>H463+H470</f>
        <v>1111.84852</v>
      </c>
      <c r="I462" s="98">
        <f aca="true" t="shared" si="22" ref="I462:I473">H462/G462*100</f>
        <v>99.95347934043292</v>
      </c>
    </row>
    <row r="463" spans="1:9" s="8" customFormat="1" ht="78.75">
      <c r="A463" s="15"/>
      <c r="B463" s="20" t="s">
        <v>204</v>
      </c>
      <c r="C463" s="17" t="s">
        <v>156</v>
      </c>
      <c r="D463" s="17" t="s">
        <v>248</v>
      </c>
      <c r="E463" s="18" t="s">
        <v>161</v>
      </c>
      <c r="F463" s="17"/>
      <c r="G463" s="19">
        <f>G464+G468</f>
        <v>1108.95644</v>
      </c>
      <c r="H463" s="19">
        <f>H464+H468</f>
        <v>1108.43896</v>
      </c>
      <c r="I463" s="98">
        <f t="shared" si="22"/>
        <v>99.9533363095849</v>
      </c>
    </row>
    <row r="464" spans="1:9" s="61" customFormat="1" ht="157.5">
      <c r="A464" s="21"/>
      <c r="B464" s="20" t="s">
        <v>162</v>
      </c>
      <c r="C464" s="17" t="s">
        <v>156</v>
      </c>
      <c r="D464" s="17" t="s">
        <v>248</v>
      </c>
      <c r="E464" s="18" t="s">
        <v>163</v>
      </c>
      <c r="F464" s="17"/>
      <c r="G464" s="19">
        <f>G465</f>
        <v>663.13069</v>
      </c>
      <c r="H464" s="19">
        <f>H465</f>
        <v>663.13069</v>
      </c>
      <c r="I464" s="98">
        <f t="shared" si="22"/>
        <v>100</v>
      </c>
    </row>
    <row r="465" spans="1:9" s="61" customFormat="1" ht="31.5">
      <c r="A465" s="21"/>
      <c r="B465" s="16" t="s">
        <v>22</v>
      </c>
      <c r="C465" s="17" t="s">
        <v>156</v>
      </c>
      <c r="D465" s="17" t="s">
        <v>248</v>
      </c>
      <c r="E465" s="18" t="s">
        <v>163</v>
      </c>
      <c r="F465" s="17" t="s">
        <v>23</v>
      </c>
      <c r="G465" s="19">
        <f>1180-219.71856-280.28144+500-250-280-0.86931+14</f>
        <v>663.13069</v>
      </c>
      <c r="H465" s="48">
        <v>663.13069</v>
      </c>
      <c r="I465" s="98">
        <f t="shared" si="22"/>
        <v>100</v>
      </c>
    </row>
    <row r="466" spans="1:9" s="75" customFormat="1" ht="78.75">
      <c r="A466" s="25"/>
      <c r="B466" s="99" t="s">
        <v>327</v>
      </c>
      <c r="C466" s="17"/>
      <c r="D466" s="17"/>
      <c r="E466" s="18"/>
      <c r="F466" s="17"/>
      <c r="G466" s="38">
        <f>493.13169+147.74256</f>
        <v>640.87425</v>
      </c>
      <c r="H466" s="38">
        <f>493.13169+147.74256</f>
        <v>640.87425</v>
      </c>
      <c r="I466" s="98">
        <f t="shared" si="22"/>
        <v>100</v>
      </c>
    </row>
    <row r="467" spans="1:9" s="61" customFormat="1" ht="204.75">
      <c r="A467" s="21"/>
      <c r="B467" s="28" t="s">
        <v>255</v>
      </c>
      <c r="C467" s="17" t="s">
        <v>156</v>
      </c>
      <c r="D467" s="17" t="s">
        <v>248</v>
      </c>
      <c r="E467" s="18" t="s">
        <v>254</v>
      </c>
      <c r="F467" s="17"/>
      <c r="G467" s="19">
        <f>G468</f>
        <v>445.82575</v>
      </c>
      <c r="H467" s="19">
        <f>H468</f>
        <v>445.30827</v>
      </c>
      <c r="I467" s="98">
        <f t="shared" si="22"/>
        <v>99.88392774531304</v>
      </c>
    </row>
    <row r="468" spans="1:9" s="61" customFormat="1" ht="31.5">
      <c r="A468" s="21"/>
      <c r="B468" s="16" t="s">
        <v>22</v>
      </c>
      <c r="C468" s="17" t="s">
        <v>156</v>
      </c>
      <c r="D468" s="17" t="s">
        <v>248</v>
      </c>
      <c r="E468" s="18" t="s">
        <v>254</v>
      </c>
      <c r="F468" s="17" t="s">
        <v>23</v>
      </c>
      <c r="G468" s="19">
        <f>216.309+1007.9808+11.7108-152.0006-476.13169-159.74256-2.3</f>
        <v>445.82575</v>
      </c>
      <c r="H468" s="51">
        <v>445.30827</v>
      </c>
      <c r="I468" s="98">
        <f t="shared" si="22"/>
        <v>99.88392774531304</v>
      </c>
    </row>
    <row r="469" spans="1:9" s="61" customFormat="1" ht="78.75">
      <c r="A469" s="21"/>
      <c r="B469" s="99" t="s">
        <v>327</v>
      </c>
      <c r="C469" s="39"/>
      <c r="D469" s="39"/>
      <c r="E469" s="40"/>
      <c r="F469" s="39"/>
      <c r="G469" s="38">
        <f>590.86831-147.74256</f>
        <v>443.1257499999999</v>
      </c>
      <c r="H469" s="38">
        <f>590.86831-147.74256</f>
        <v>443.1257499999999</v>
      </c>
      <c r="I469" s="98">
        <f t="shared" si="22"/>
        <v>100</v>
      </c>
    </row>
    <row r="470" spans="1:9" s="61" customFormat="1" ht="15.75">
      <c r="A470" s="21"/>
      <c r="B470" s="16" t="s">
        <v>11</v>
      </c>
      <c r="C470" s="17" t="s">
        <v>156</v>
      </c>
      <c r="D470" s="17" t="s">
        <v>248</v>
      </c>
      <c r="E470" s="18" t="s">
        <v>257</v>
      </c>
      <c r="F470" s="17"/>
      <c r="G470" s="19">
        <f>G472</f>
        <v>3.40956</v>
      </c>
      <c r="H470" s="19">
        <f>H472</f>
        <v>3.40956</v>
      </c>
      <c r="I470" s="98">
        <f t="shared" si="22"/>
        <v>100</v>
      </c>
    </row>
    <row r="471" spans="1:9" s="61" customFormat="1" ht="94.5">
      <c r="A471" s="21"/>
      <c r="B471" s="16" t="s">
        <v>258</v>
      </c>
      <c r="C471" s="17" t="s">
        <v>156</v>
      </c>
      <c r="D471" s="17" t="s">
        <v>248</v>
      </c>
      <c r="E471" s="18" t="s">
        <v>256</v>
      </c>
      <c r="F471" s="17"/>
      <c r="G471" s="19">
        <f>G472</f>
        <v>3.40956</v>
      </c>
      <c r="H471" s="19">
        <f>H472</f>
        <v>3.40956</v>
      </c>
      <c r="I471" s="98">
        <f t="shared" si="22"/>
        <v>100</v>
      </c>
    </row>
    <row r="472" spans="1:9" s="61" customFormat="1" ht="31.5">
      <c r="A472" s="21"/>
      <c r="B472" s="16" t="s">
        <v>22</v>
      </c>
      <c r="C472" s="17" t="s">
        <v>156</v>
      </c>
      <c r="D472" s="17" t="s">
        <v>248</v>
      </c>
      <c r="E472" s="18" t="s">
        <v>256</v>
      </c>
      <c r="F472" s="17" t="s">
        <v>23</v>
      </c>
      <c r="G472" s="19">
        <v>3.40956</v>
      </c>
      <c r="H472" s="48">
        <v>3.40956</v>
      </c>
      <c r="I472" s="98">
        <f t="shared" si="22"/>
        <v>100</v>
      </c>
    </row>
    <row r="473" spans="1:9" ht="15.75">
      <c r="A473" s="44"/>
      <c r="B473" s="111" t="s">
        <v>166</v>
      </c>
      <c r="C473" s="111"/>
      <c r="D473" s="111"/>
      <c r="E473" s="111"/>
      <c r="F473" s="111"/>
      <c r="G473" s="77">
        <f>G8+G22+G33+G62+G79+G254+G308+G354+G426</f>
        <v>980286.52507</v>
      </c>
      <c r="H473" s="77">
        <f>H8+H22+H33+H62+H79+H254+H308+H354+H426</f>
        <v>904326.59039</v>
      </c>
      <c r="I473" s="106">
        <f t="shared" si="22"/>
        <v>92.25125177819048</v>
      </c>
    </row>
    <row r="475" spans="1:9" s="85" customFormat="1" ht="19.5">
      <c r="A475" s="78"/>
      <c r="B475" s="79"/>
      <c r="C475" s="80"/>
      <c r="D475" s="81"/>
      <c r="E475" s="82"/>
      <c r="F475" s="81"/>
      <c r="G475" s="83"/>
      <c r="H475" s="84"/>
      <c r="I475" s="96"/>
    </row>
    <row r="476" spans="1:9" s="85" customFormat="1" ht="20.25">
      <c r="A476" s="78"/>
      <c r="B476" s="86"/>
      <c r="C476" s="80"/>
      <c r="D476" s="80"/>
      <c r="E476" s="82"/>
      <c r="F476" s="80"/>
      <c r="G476" s="87"/>
      <c r="H476" s="84"/>
      <c r="I476" s="96"/>
    </row>
    <row r="477" spans="1:9" s="85" customFormat="1" ht="20.25">
      <c r="A477" s="78"/>
      <c r="B477" s="86"/>
      <c r="C477" s="80"/>
      <c r="D477" s="80"/>
      <c r="E477" s="82"/>
      <c r="F477" s="80"/>
      <c r="G477" s="87"/>
      <c r="H477" s="84"/>
      <c r="I477" s="96"/>
    </row>
    <row r="478" spans="1:9" s="85" customFormat="1" ht="20.25">
      <c r="A478" s="78"/>
      <c r="B478" s="86"/>
      <c r="C478" s="80"/>
      <c r="D478" s="80"/>
      <c r="E478" s="82"/>
      <c r="F478" s="80"/>
      <c r="G478" s="87"/>
      <c r="H478" s="84"/>
      <c r="I478" s="96"/>
    </row>
    <row r="479" spans="1:12" s="86" customFormat="1" ht="20.25">
      <c r="A479" s="88"/>
      <c r="C479" s="89"/>
      <c r="D479" s="89"/>
      <c r="E479" s="90"/>
      <c r="F479" s="89"/>
      <c r="G479" s="87"/>
      <c r="H479" s="112"/>
      <c r="I479" s="112"/>
      <c r="J479" s="112"/>
      <c r="K479" s="112"/>
      <c r="L479" s="112"/>
    </row>
    <row r="480" spans="1:9" s="86" customFormat="1" ht="20.25">
      <c r="A480" s="88"/>
      <c r="C480" s="89"/>
      <c r="D480" s="89"/>
      <c r="E480" s="90"/>
      <c r="F480" s="89"/>
      <c r="G480" s="87"/>
      <c r="H480" s="91"/>
      <c r="I480" s="94"/>
    </row>
    <row r="481" spans="1:9" s="86" customFormat="1" ht="20.25">
      <c r="A481" s="88"/>
      <c r="C481" s="89"/>
      <c r="D481" s="89"/>
      <c r="E481" s="90"/>
      <c r="F481" s="89"/>
      <c r="G481" s="87"/>
      <c r="H481" s="91"/>
      <c r="I481" s="97"/>
    </row>
    <row r="482" spans="1:9" s="86" customFormat="1" ht="18.75" customHeight="1">
      <c r="A482" s="88"/>
      <c r="C482" s="89"/>
      <c r="D482" s="89"/>
      <c r="E482" s="90"/>
      <c r="F482" s="89"/>
      <c r="G482" s="87"/>
      <c r="H482" s="84"/>
      <c r="I482" s="97"/>
    </row>
    <row r="483" spans="1:9" s="85" customFormat="1" ht="20.25">
      <c r="A483" s="78"/>
      <c r="B483" s="86"/>
      <c r="C483" s="80"/>
      <c r="D483" s="80"/>
      <c r="E483" s="82"/>
      <c r="F483" s="80"/>
      <c r="G483" s="87"/>
      <c r="H483" s="84"/>
      <c r="I483" s="96"/>
    </row>
    <row r="484" spans="1:9" s="85" customFormat="1" ht="20.25">
      <c r="A484" s="78"/>
      <c r="B484" s="86"/>
      <c r="C484" s="80"/>
      <c r="D484" s="80"/>
      <c r="E484" s="82"/>
      <c r="F484" s="80"/>
      <c r="G484" s="87"/>
      <c r="H484" s="84"/>
      <c r="I484" s="96"/>
    </row>
    <row r="485" spans="1:9" s="85" customFormat="1" ht="15.75">
      <c r="A485" s="78"/>
      <c r="B485" s="79"/>
      <c r="C485" s="80"/>
      <c r="D485" s="80"/>
      <c r="E485" s="82"/>
      <c r="F485" s="80"/>
      <c r="G485" s="92"/>
      <c r="H485" s="84"/>
      <c r="I485" s="96"/>
    </row>
  </sheetData>
  <sheetProtection/>
  <mergeCells count="11">
    <mergeCell ref="I6:I7"/>
    <mergeCell ref="H1:I1"/>
    <mergeCell ref="H2:I3"/>
    <mergeCell ref="A4:G4"/>
    <mergeCell ref="C6:F6"/>
    <mergeCell ref="B473:F473"/>
    <mergeCell ref="H479:L479"/>
    <mergeCell ref="A6:A7"/>
    <mergeCell ref="B6:B7"/>
    <mergeCell ref="G6:G7"/>
    <mergeCell ref="H6:H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2022-04-13T04:01:20Z</cp:lastPrinted>
  <dcterms:created xsi:type="dcterms:W3CDTF">2005-10-03T04:50:38Z</dcterms:created>
  <dcterms:modified xsi:type="dcterms:W3CDTF">2022-06-29T02:09:48Z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