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2" yWindow="65488" windowWidth="15300" windowHeight="12792" activeTab="0"/>
  </bookViews>
  <sheets>
    <sheet name="Приложение 3" sheetId="1" r:id="rId1"/>
  </sheets>
  <definedNames>
    <definedName name="_xlnm.Print_Area" localSheetId="0">'Приложение 3'!$A$1:$C$105</definedName>
  </definedNames>
  <calcPr fullCalcOnLoad="1"/>
</workbook>
</file>

<file path=xl/sharedStrings.xml><?xml version="1.0" encoding="utf-8"?>
<sst xmlns="http://schemas.openxmlformats.org/spreadsheetml/2006/main" count="201" uniqueCount="167">
  <si>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</si>
  <si>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</si>
  <si>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</si>
  <si>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</si>
  <si>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Код 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</si>
  <si>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</si>
  <si>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</si>
  <si>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</si>
  <si>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</si>
  <si>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</si>
  <si>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</si>
  <si>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</si>
  <si>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</si>
  <si>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</si>
  <si>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</si>
  <si>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1 15 00000 00 0000 000</t>
  </si>
  <si>
    <t>АДМИНИСТРАТИВНЫЕ ПЛАТЕЖИ И СБОРЫ</t>
  </si>
  <si>
    <t>2 00 00000 00 0000 000</t>
  </si>
  <si>
    <t>БЕЗВОЗМЕЗДНЫЕ ПОСТУПЛЕНИЯ</t>
  </si>
  <si>
    <t>0 00 00000 00 0000 000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</si>
  <si>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</si>
  <si>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Бюджет поселения</t>
  </si>
  <si>
    <t xml:space="preserve">1 05 03000 01 0000 110 </t>
  </si>
  <si>
    <t xml:space="preserve">Единый сельскохозяйственный налог </t>
  </si>
  <si>
    <t xml:space="preserve">1 11 00000 00 0000 000 </t>
  </si>
  <si>
    <t>1 17 00000 00 0000 000</t>
  </si>
  <si>
    <t xml:space="preserve">ПРОЧИЕ НЕНАЛОГОВЫЕ ДОХОДЫ </t>
  </si>
  <si>
    <t xml:space="preserve">Земельный налог </t>
  </si>
  <si>
    <t>Налог на имущество физических лиц</t>
  </si>
  <si>
    <t>1 06 01000 00 0000 110</t>
  </si>
  <si>
    <t>тыс.руб.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</si>
  <si>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</si>
  <si>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</si>
  <si>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</si>
  <si>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</si>
  <si>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</si>
  <si>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</si>
  <si>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</si>
  <si>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</si>
  <si>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</si>
  <si>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</si>
  <si>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</si>
  <si>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</si>
  <si>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1 13 00000 00 0000 000 </t>
  </si>
  <si>
    <t>ДОХОДЫ ОТ ОКАЗАНИЯ ПЛАТНЫХ УСЛУГ (РАБОТ) И КОМПЕНСАЦИИ ЗАТРАТ ГОСУДАРСТВА</t>
  </si>
  <si>
    <t>НАЛОГОВЫЕ И НЕНАЛОГОВЫЕ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</si>
  <si>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</si>
  <si>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</si>
  <si>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</si>
  <si>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</si>
  <si>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</si>
  <si>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</si>
  <si>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</si>
  <si>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</si>
  <si>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</si>
  <si>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</si>
  <si>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</si>
  <si>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</si>
  <si>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</si>
  <si>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</si>
  <si>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</si>
  <si>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</si>
  <si>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</si>
  <si>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</si>
  <si>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</si>
  <si>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</si>
  <si>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</si>
  <si>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</si>
  <si>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</si>
  <si>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</si>
  <si>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</si>
  <si>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</si>
  <si>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1 15 02050 13 0000 140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</si>
  <si>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</si>
  <si>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</si>
  <si>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</si>
  <si>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1 17 05050 13 0000 180</t>
  </si>
  <si>
    <t>2 02 01001 13 0000 151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</si>
  <si>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</si>
  <si>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2 02 03022 13 0000 151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</si>
  <si>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</si>
  <si>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</si>
  <si>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 xml:space="preserve">1 06 06000 00 0000 110 </t>
  </si>
  <si>
    <t>Дотации бюджетам городских поселений на выравнивание бюджетной обеспеченности</t>
  </si>
  <si>
    <t>1 06 06043 13 0000 110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</si>
  <si>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</si>
  <si>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</si>
  <si>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</si>
  <si>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</si>
  <si>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Доходы бюджета Елизовского городского поселения в 2016 году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</si>
  <si>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</si>
  <si>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</si>
  <si>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</si>
  <si>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</si>
  <si>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</si>
  <si>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</si>
  <si>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</si>
  <si>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</si>
  <si>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</si>
  <si>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</si>
  <si>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2 02 02999 13 0000 151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</si>
  <si>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</si>
  <si>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</si>
  <si>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</t>
  </si>
  <si>
    <t>Государственная программа Камчатского края "Обеспечение доступным и комфортным жильем жителей Камчатского края на 2014-2018 годы".Подпрограмма "Стимулирование развития жилищного строительства в Камчатском крае"</t>
  </si>
  <si>
    <t>Реконструкция котельной №2  г. Елизово (ул. Рябикова,59) со строительством дополнительного газового энергоблока каркасного типа с блочным расположением оборудования с передачей нагрузок котельных</t>
  </si>
  <si>
    <t>Реконструкция котельной №4  г. Елизово (ул.40 лет Октября) со строительством дополнительного газового энергоблока каркасного типа с блочным  расположением оборудования (1 пусковой комплекс)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</si>
  <si>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</si>
  <si>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</si>
  <si>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2 02 04000 00 0000 151</t>
  </si>
  <si>
    <t>Иные межбюджетные трансферты</t>
  </si>
  <si>
    <t>Субвенция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 предусмотренной законом Камчатского края</t>
  </si>
  <si>
    <t>2 02 04999 13 0000 151</t>
  </si>
  <si>
    <t>Прочие межбюджетные трансферты, передаваемые бюджетам городских поселений</t>
  </si>
  <si>
    <t>ИМТ на софинансирование расходов по оплате труда работников учреждений социальной сферы</t>
  </si>
  <si>
    <t>Приобретение звуковой аппаратуры для МБУ Городской дом культуры "Пограничный" г. Елизово (депутатские наказы)</t>
  </si>
  <si>
    <t>ИМТ на повышение по оплате труда работникам учреждений культуры</t>
  </si>
  <si>
    <t>ИМТ на софинансирование расходов по оплате коммунальных услуг бюджетных учреждений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</si>
  <si>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</si>
  <si>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</si>
  <si>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</si>
  <si>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2 02 02008 00 0000 151</t>
  </si>
  <si>
    <t>Субсидии бюджетам на обеспечение жильем молодых семей</t>
  </si>
  <si>
    <t>2 02 02008 13 0000 151</t>
  </si>
  <si>
    <t>Субсидии бюджетам городских поселений на обеспечение жильем молодых семей</t>
  </si>
  <si>
    <t>Государственная программа Камчатского края "Обеспечение доступным и комфортным жильем жителей Камчатского края на 2014-2018 годы". Подпрограмма " Обеспечение жильем молодых семей в Камчатском крае"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</si>
  <si>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</si>
  <si>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 коммунального комплексов</t>
  </si>
  <si>
    <t>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источники тепло-,водоснабжения</t>
  </si>
  <si>
    <t>Проведение мероприятий, направленных на ремонт ветхих и аварийных сетей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</si>
  <si>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"Благоустройство территорий муниципальных образований в Камчатском крае".</t>
  </si>
  <si>
    <t>Ремонт и устройство уличных сетей наружного освещения</t>
  </si>
  <si>
    <t>Капитальный ремонт и ремонт автомобильных дорог общего пользования населенных пунктов ( в том числе элементов уличной-дорожной сети, включая тротуары и парковки), дворовых территорий многоквартирных домов и проездов к ним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</si>
  <si>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</si>
  <si>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Государственная программа Камчатского края "Обеспечение доступным и комфортным жильем жителей Камчатского края на 2014-2018 годы". Подпрограмма "Переселение граждан из аварийных жилых домов и непригодных для проживания жилых помещений в Камчатском крае".</t>
  </si>
  <si>
    <t>Разработка проектов планировки, совмещенных с проектами межевания новых застроенных территорий поселений</t>
  </si>
  <si>
    <t>Совершенствование организации безопасного движения транспортных средств и пешеходов</t>
  </si>
  <si>
    <t>Государственная программа Камчатского края "Обеспечение доступным и комфортным жильем жителей Камчатского края на 2014-2018 годы". Подпрограмма "Адресная программа по переселению граждан из аварийного жилищного фонда в Камчатском крае".</t>
  </si>
  <si>
    <t>Переселение граждан из аварийного жилищного фонда в Камчатском края</t>
  </si>
  <si>
    <t>Внесение изменений в схему территориального планирования Камчатского края и генеральные планы городских и сельских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</si>
  <si>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</si>
  <si>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(или) земель земельных участков, государственная собственность на которые не разграниченна и которые расположенны в границах городских поселений</t>
  </si>
  <si>
    <t>1 16 33050 13 0000 140</t>
  </si>
  <si>
    <t>1 16 37040 13 0000 140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</si>
  <si>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</si>
  <si>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1 13 02995 13 0000 130</t>
  </si>
  <si>
    <t>Прочие доходы от компенсации затрат в бюджеты городских поселений</t>
  </si>
  <si>
    <t>2 19 05000 00 0000 151</t>
  </si>
  <si>
    <t>Возврат остатков субсидий субвенций и иных межбюджетных трансфертов, имеющих целевое назначение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</si>
  <si>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</si>
  <si>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</si>
  <si>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ИМТ на обеспечение софинансирования мероприятий государственных программ Камчатского края</t>
  </si>
  <si>
    <t>Субсидии бюджетам на реализацию федеральных целевых программ</t>
  </si>
  <si>
    <t>2 02 02051 13 0000 151</t>
  </si>
  <si>
    <t>2 02 02051 00 0000 151</t>
  </si>
  <si>
    <t>Субсидии бюджетам городских поселений на реализацию федеральных целевых программ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</si>
  <si>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дома. Мероприятия подпрограммы "Обеспечение жильем молодых семей" федеральной целевой программы "Жилище" на 2015-2020 годы.</t>
  </si>
  <si>
    <t>Государственная программа Камчатского края "Профилактика правонарушений терроризма, экстремизма, наркомании и алкоголизма в Камчатском крае на 2014-2018 гг." Подпрограмма "Профилактика правонарушений, преступлений и повышение безопасности дорожного движения в Камчатском крае".</t>
  </si>
  <si>
    <t>Профилактика правонарушений в общественных местах и на улицах, включая построенние комплексной системы "Безопасный город", совершенствование контроля за соблюдением законодательства в сфере безопасности дорожного движения"</t>
  </si>
  <si>
    <t>Субвенция на выполнение государственных полномочий Камчатского края на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</si>
  <si>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ИМТ на оплату полномочий в соответствии с жилищным законодательством (установление платы за содержание жилого помещения для нанимателей жилых помещений по договорам социального найма)</t>
  </si>
  <si>
    <t>2 07 05030 13 0000 180</t>
  </si>
  <si>
    <t>2 07 00000 00 0000 180</t>
  </si>
  <si>
    <t>Субвенция на выполнение государственных полномочий Камчатского края по вопросам установления нормативов накопления твердых бытовых отходов</t>
  </si>
  <si>
    <t>ИМТ на капитальный ремонт котельного агрегата №1 "ДКВР-6,5/13", котельного агрегата № 3 "ДКВР-4/13" на котельной №4</t>
  </si>
  <si>
    <t>1 14 01050 13 0000 410</t>
  </si>
  <si>
    <t>Доходы от продажи квартир находящихся в собственности городских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</si>
</sst>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00"/>
    <numFmt numFmtId="180" formatCode="#,##0.00000"/>
    <numFmt numFmtId="181" formatCode="0.00000"/>
    <numFmt numFmtId="182" formatCode="0.000000"/>
    <numFmt numFmtId="183" formatCode="000000"/>
    <numFmt numFmtId="184" formatCode="0.0000"/>
  </numFmts>
  <fonts count="55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1"/>
      <name val="Arial Cyr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0" fontId="11" fillId="0" borderId="10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80" fontId="15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180" fontId="1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180" fontId="16" fillId="32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horizontal="center"/>
    </xf>
    <xf numFmtId="180" fontId="7" fillId="0" borderId="1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18" fillId="0" borderId="0" xfId="0" applyNumberFormat="1" applyFont="1" applyFill="1" applyAlignment="1">
      <alignment/>
    </xf>
    <xf numFmtId="180" fontId="17" fillId="0" borderId="1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16" fillId="0" borderId="0" xfId="0" applyNumberFormat="1" applyFont="1" applyFill="1" applyAlignment="1">
      <alignment horizontal="center"/>
    </xf>
    <xf numFmtId="181" fontId="16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3" fontId="11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2524125</xdr:colOff>
      <xdr:row>0</xdr:row>
      <xdr:rowOff>0</xdr:rowOff>
    </xdr:from>
    <xdr:to>
      <xdr:col>2</xdr:col>
      <xdr:colOff>1028700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57725" y="0"/>
          <a:ext cx="763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4105275</xdr:colOff>
      <xdr:row>1</xdr:row>
      <xdr:rowOff>66675</xdr:rowOff>
    </xdr:from>
    <xdr:to>
      <xdr:col>2</xdr:col>
      <xdr:colOff>1562100</xdr:colOff>
      <xdr:row>2</xdr:row>
      <xdr:rowOff>952500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6238875" y="66675"/>
          <a:ext cx="6591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нормативному правовому акту от 15.12.2016 г. №13-НПА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 внесении изменений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принятому Решением Собрания депутатов Елизовского городского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поселения №84 от 15 декабря 2016 года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="110" zoomScaleNormal="110" zoomScaleSheetLayoutView="100" workbookViewId="0" topLeftCell="A2">
      <selection activeCell="A2" sqref="A2"/>
    </sheetView>
  </sheetViews>
  <sheetFormatPr defaultColWidth="9.00390625" defaultRowHeight="12.75"/>
  <cols>
    <col min="1" max="1" width="28.00390625" style="11" customWidth="1"/>
    <col min="2" max="2" width="119.875" style="6" customWidth="1"/>
    <col min="3" max="3" width="22.00390625" style="3" customWidth="1"/>
    <col min="4" max="4" width="19.50390625" style="8" customWidth="1"/>
    <col min="5" max="5" width="15.625" style="24" customWidth="1"/>
    <col min="6" max="6" width="14.00390625" style="8" customWidth="1"/>
    <col min="7" max="7" width="13.00390625" style="8" customWidth="1"/>
    <col min="8" max="16384" width="8.875" style="8" customWidth="1"/>
  </cols>
  <sheetData>
    <row r="1" spans="1:3" ht="15" hidden="1">
      <c r="A1" s="2"/>
      <c r="B1" s="63"/>
      <c r="C1" s="63"/>
    </row>
    <row r="2" spans="1:3" ht="15">
      <c r="A2" s="2"/>
      <c r="B2" s="12"/>
      <c r="C2" s="12"/>
    </row>
    <row r="3" ht="86.25" customHeight="1"/>
    <row r="4" spans="1:3" ht="23.25" customHeight="1">
      <c r="A4" s="64" t="s">
        <v>89</v>
      </c>
      <c r="B4" s="64"/>
      <c r="C4" s="64"/>
    </row>
    <row r="5" ht="15">
      <c r="C5" s="4" t="s">
        <v>30</v>
      </c>
    </row>
    <row r="6" spans="1:5" s="23" customFormat="1" ht="21.75" customHeight="1">
      <c r="A6" s="65" t="s">
        <v>4</v>
      </c>
      <c r="B6" s="65" t="s">
        <v>20</v>
      </c>
      <c r="C6" s="65" t="s">
        <v>21</v>
      </c>
      <c r="E6" s="46"/>
    </row>
    <row r="7" spans="1:5" s="23" customFormat="1" ht="21" customHeight="1">
      <c r="A7" s="66"/>
      <c r="B7" s="66"/>
      <c r="C7" s="66"/>
      <c r="E7" s="46"/>
    </row>
    <row r="8" spans="1:6" s="1" customFormat="1" ht="15">
      <c r="A8" s="13" t="s">
        <v>5</v>
      </c>
      <c r="B8" s="25" t="s">
        <v>45</v>
      </c>
      <c r="C8" s="14">
        <f>C9+C14+C20+C24+C31+C45+C51+C39+C47+C36</f>
        <v>339691.12404</v>
      </c>
      <c r="D8" s="52"/>
      <c r="E8" s="42"/>
      <c r="F8" s="42"/>
    </row>
    <row r="9" spans="1:5" s="1" customFormat="1" ht="15">
      <c r="A9" s="13" t="s">
        <v>6</v>
      </c>
      <c r="B9" s="15" t="s">
        <v>7</v>
      </c>
      <c r="C9" s="14">
        <f>C10</f>
        <v>168940</v>
      </c>
      <c r="D9" s="52"/>
      <c r="E9" s="42"/>
    </row>
    <row r="10" spans="1:6" s="1" customFormat="1" ht="15">
      <c r="A10" s="13" t="s">
        <v>8</v>
      </c>
      <c r="B10" s="15" t="s">
        <v>9</v>
      </c>
      <c r="C10" s="14">
        <f>SUM(C11:C13)</f>
        <v>168940</v>
      </c>
      <c r="D10" s="52"/>
      <c r="E10" s="42"/>
      <c r="F10" s="42"/>
    </row>
    <row r="11" spans="1:7" s="6" customFormat="1" ht="46.5">
      <c r="A11" s="16" t="s">
        <v>91</v>
      </c>
      <c r="B11" s="17" t="s">
        <v>90</v>
      </c>
      <c r="C11" s="18">
        <f>156509+9591</f>
        <v>166100</v>
      </c>
      <c r="D11" s="53"/>
      <c r="E11" s="47"/>
      <c r="F11" s="47"/>
      <c r="G11" s="38"/>
    </row>
    <row r="12" spans="1:7" s="6" customFormat="1" ht="62.25">
      <c r="A12" s="16" t="s">
        <v>92</v>
      </c>
      <c r="B12" s="17" t="s">
        <v>93</v>
      </c>
      <c r="C12" s="18">
        <f>415+175</f>
        <v>590</v>
      </c>
      <c r="D12" s="53"/>
      <c r="E12" s="47"/>
      <c r="F12" s="47"/>
      <c r="G12" s="38"/>
    </row>
    <row r="13" spans="1:7" s="6" customFormat="1" ht="30.75">
      <c r="A13" s="16" t="s">
        <v>94</v>
      </c>
      <c r="B13" s="17" t="s">
        <v>95</v>
      </c>
      <c r="C13" s="18">
        <f>1278+972</f>
        <v>2250</v>
      </c>
      <c r="D13" s="53"/>
      <c r="E13" s="47"/>
      <c r="F13" s="47"/>
      <c r="G13" s="38"/>
    </row>
    <row r="14" spans="1:6" s="1" customFormat="1" ht="30.75">
      <c r="A14" s="13" t="s">
        <v>46</v>
      </c>
      <c r="B14" s="15" t="s">
        <v>47</v>
      </c>
      <c r="C14" s="14">
        <f>C15</f>
        <v>8302.26434</v>
      </c>
      <c r="D14" s="52"/>
      <c r="E14" s="42"/>
      <c r="F14" s="47"/>
    </row>
    <row r="15" spans="1:6" s="1" customFormat="1" ht="15">
      <c r="A15" s="13" t="s">
        <v>48</v>
      </c>
      <c r="B15" s="15" t="s">
        <v>49</v>
      </c>
      <c r="C15" s="14">
        <f>C16+C17+C18+C19</f>
        <v>8302.26434</v>
      </c>
      <c r="D15" s="52"/>
      <c r="E15" s="42"/>
      <c r="F15" s="47"/>
    </row>
    <row r="16" spans="1:6" s="1" customFormat="1" ht="46.5">
      <c r="A16" s="16" t="s">
        <v>50</v>
      </c>
      <c r="B16" s="17" t="s">
        <v>51</v>
      </c>
      <c r="C16" s="18">
        <f>2383.01535+234.44502</f>
        <v>2617.4603700000002</v>
      </c>
      <c r="D16" s="56"/>
      <c r="E16" s="42"/>
      <c r="F16" s="47"/>
    </row>
    <row r="17" spans="1:6" s="1" customFormat="1" ht="46.5">
      <c r="A17" s="16" t="s">
        <v>53</v>
      </c>
      <c r="B17" s="17" t="s">
        <v>52</v>
      </c>
      <c r="C17" s="18">
        <f>36.20086+6.08247</f>
        <v>42.28333</v>
      </c>
      <c r="D17" s="56"/>
      <c r="E17" s="42"/>
      <c r="F17" s="47"/>
    </row>
    <row r="18" spans="1:6" s="1" customFormat="1" ht="46.5">
      <c r="A18" s="16" t="s">
        <v>54</v>
      </c>
      <c r="B18" s="17" t="s">
        <v>55</v>
      </c>
      <c r="C18" s="18">
        <f>5201.19003+805.7185</f>
        <v>6006.90853</v>
      </c>
      <c r="D18" s="56"/>
      <c r="E18" s="42"/>
      <c r="F18" s="47"/>
    </row>
    <row r="19" spans="1:6" s="1" customFormat="1" ht="46.5">
      <c r="A19" s="16" t="s">
        <v>107</v>
      </c>
      <c r="B19" s="17" t="s">
        <v>108</v>
      </c>
      <c r="C19" s="18">
        <f>904.39739-1268.78528</f>
        <v>-364.3878900000001</v>
      </c>
      <c r="D19" s="56"/>
      <c r="E19" s="42"/>
      <c r="F19" s="47"/>
    </row>
    <row r="20" spans="1:6" s="1" customFormat="1" ht="15">
      <c r="A20" s="13" t="s">
        <v>10</v>
      </c>
      <c r="B20" s="15" t="s">
        <v>11</v>
      </c>
      <c r="C20" s="14">
        <f>C21</f>
        <v>12131.51115</v>
      </c>
      <c r="D20" s="52"/>
      <c r="E20" s="42"/>
      <c r="F20" s="47"/>
    </row>
    <row r="21" spans="1:6" s="1" customFormat="1" ht="15">
      <c r="A21" s="13" t="s">
        <v>22</v>
      </c>
      <c r="B21" s="15" t="s">
        <v>23</v>
      </c>
      <c r="C21" s="14">
        <f>C22+C23</f>
        <v>12131.51115</v>
      </c>
      <c r="D21" s="52"/>
      <c r="E21" s="48"/>
      <c r="F21" s="47"/>
    </row>
    <row r="22" spans="1:7" s="1" customFormat="1" ht="15">
      <c r="A22" s="16" t="s">
        <v>40</v>
      </c>
      <c r="B22" s="17" t="s">
        <v>23</v>
      </c>
      <c r="C22" s="18">
        <f>10567.17115+1560.31339-1.02501+5.05162</f>
        <v>12131.51115</v>
      </c>
      <c r="D22" s="56"/>
      <c r="E22" s="48"/>
      <c r="F22" s="47"/>
      <c r="G22" s="38"/>
    </row>
    <row r="23" spans="1:6" s="1" customFormat="1" ht="15" hidden="1">
      <c r="A23" s="16" t="s">
        <v>41</v>
      </c>
      <c r="B23" s="17" t="s">
        <v>42</v>
      </c>
      <c r="C23" s="18">
        <v>0</v>
      </c>
      <c r="D23" s="52"/>
      <c r="E23" s="48"/>
      <c r="F23" s="47"/>
    </row>
    <row r="24" spans="1:6" s="1" customFormat="1" ht="15">
      <c r="A24" s="13" t="s">
        <v>12</v>
      </c>
      <c r="B24" s="15" t="s">
        <v>13</v>
      </c>
      <c r="C24" s="14">
        <f>C27+C25</f>
        <v>35900</v>
      </c>
      <c r="D24" s="52"/>
      <c r="E24" s="48"/>
      <c r="F24" s="47"/>
    </row>
    <row r="25" spans="1:6" s="1" customFormat="1" ht="15">
      <c r="A25" s="13" t="s">
        <v>29</v>
      </c>
      <c r="B25" s="15" t="s">
        <v>28</v>
      </c>
      <c r="C25" s="14">
        <f>C26</f>
        <v>7300</v>
      </c>
      <c r="D25" s="52"/>
      <c r="E25" s="48"/>
      <c r="F25" s="47"/>
    </row>
    <row r="26" spans="1:6" s="10" customFormat="1" ht="30.75">
      <c r="A26" s="16" t="s">
        <v>57</v>
      </c>
      <c r="B26" s="17" t="s">
        <v>58</v>
      </c>
      <c r="C26" s="18">
        <f>6000+3500+2215.79592-2215.79592-2000-200</f>
        <v>7300</v>
      </c>
      <c r="D26" s="54"/>
      <c r="E26" s="48"/>
      <c r="F26" s="47"/>
    </row>
    <row r="27" spans="1:6" s="1" customFormat="1" ht="15">
      <c r="A27" s="13" t="s">
        <v>82</v>
      </c>
      <c r="B27" s="15" t="s">
        <v>27</v>
      </c>
      <c r="C27" s="14">
        <f>C29+C30</f>
        <v>28600</v>
      </c>
      <c r="D27" s="52"/>
      <c r="E27" s="48"/>
      <c r="F27" s="47"/>
    </row>
    <row r="28" spans="1:6" ht="46.5" hidden="1">
      <c r="A28" s="16" t="s">
        <v>31</v>
      </c>
      <c r="B28" s="17" t="s">
        <v>32</v>
      </c>
      <c r="C28" s="18">
        <v>0</v>
      </c>
      <c r="D28" s="55"/>
      <c r="E28" s="48"/>
      <c r="F28" s="47"/>
    </row>
    <row r="29" spans="1:6" ht="22.5" customHeight="1">
      <c r="A29" s="16" t="s">
        <v>59</v>
      </c>
      <c r="B29" s="17" t="s">
        <v>60</v>
      </c>
      <c r="C29" s="18">
        <f>45000-22500+3015.72159-6915.72159</f>
        <v>18600</v>
      </c>
      <c r="D29" s="55"/>
      <c r="E29" s="48"/>
      <c r="F29" s="47"/>
    </row>
    <row r="30" spans="1:6" ht="34.5" customHeight="1">
      <c r="A30" s="16" t="s">
        <v>84</v>
      </c>
      <c r="B30" s="17" t="s">
        <v>96</v>
      </c>
      <c r="C30" s="18">
        <f>7900+672.01682+1427.98318</f>
        <v>10000</v>
      </c>
      <c r="D30" s="55"/>
      <c r="E30" s="48"/>
      <c r="F30" s="47"/>
    </row>
    <row r="31" spans="1:5" s="1" customFormat="1" ht="30.75">
      <c r="A31" s="13" t="s">
        <v>24</v>
      </c>
      <c r="B31" s="15" t="s">
        <v>14</v>
      </c>
      <c r="C31" s="14">
        <f>SUM(C32:C35)</f>
        <v>85987.26126</v>
      </c>
      <c r="D31" s="52"/>
      <c r="E31" s="48"/>
    </row>
    <row r="32" spans="1:5" s="10" customFormat="1" ht="46.5">
      <c r="A32" s="26" t="s">
        <v>61</v>
      </c>
      <c r="B32" s="27" t="s">
        <v>62</v>
      </c>
      <c r="C32" s="18">
        <f>5700+5596.57053+359.53357+57.09067</f>
        <v>11713.19477</v>
      </c>
      <c r="D32" s="54"/>
      <c r="E32" s="48"/>
    </row>
    <row r="33" spans="1:5" s="1" customFormat="1" ht="46.5">
      <c r="A33" s="16" t="s">
        <v>64</v>
      </c>
      <c r="B33" s="17" t="s">
        <v>63</v>
      </c>
      <c r="C33" s="18">
        <f>2832.80506-252.84175+(1859.59865+828.94192)</f>
        <v>5268.50388</v>
      </c>
      <c r="D33" s="53"/>
      <c r="E33" s="48"/>
    </row>
    <row r="34" spans="1:5" s="1" customFormat="1" ht="15">
      <c r="A34" s="16" t="s">
        <v>88</v>
      </c>
      <c r="B34" s="17" t="s">
        <v>87</v>
      </c>
      <c r="C34" s="18">
        <v>1854</v>
      </c>
      <c r="D34" s="53"/>
      <c r="E34" s="48"/>
    </row>
    <row r="35" spans="1:5" ht="46.5">
      <c r="A35" s="16" t="s">
        <v>66</v>
      </c>
      <c r="B35" s="28" t="s">
        <v>65</v>
      </c>
      <c r="C35" s="18">
        <f>23261.98296+144.75468+7212+8882.703+18660+15326.51355+1453.72677+12.1-8140.38445+338.1661</f>
        <v>67151.56261000001</v>
      </c>
      <c r="D35" s="56"/>
      <c r="E35" s="48"/>
    </row>
    <row r="36" spans="1:5" ht="24" customHeight="1">
      <c r="A36" s="13" t="s">
        <v>43</v>
      </c>
      <c r="B36" s="15" t="s">
        <v>44</v>
      </c>
      <c r="C36" s="14">
        <f>C37+C38</f>
        <v>9595.9205</v>
      </c>
      <c r="D36" s="56"/>
      <c r="E36" s="48"/>
    </row>
    <row r="37" spans="1:4" ht="15">
      <c r="A37" s="16" t="s">
        <v>67</v>
      </c>
      <c r="B37" s="28" t="s">
        <v>68</v>
      </c>
      <c r="C37" s="18">
        <v>8849.5</v>
      </c>
      <c r="D37" s="56"/>
    </row>
    <row r="38" spans="1:4" ht="15">
      <c r="A38" s="16" t="s">
        <v>145</v>
      </c>
      <c r="B38" s="28" t="s">
        <v>146</v>
      </c>
      <c r="C38" s="18">
        <f>32.30672+399.952+115.6+195.7844+2.77738</f>
        <v>746.4205</v>
      </c>
      <c r="D38" s="56"/>
    </row>
    <row r="39" spans="1:5" s="7" customFormat="1" ht="24" customHeight="1">
      <c r="A39" s="29" t="s">
        <v>36</v>
      </c>
      <c r="B39" s="15" t="s">
        <v>37</v>
      </c>
      <c r="C39" s="14">
        <f>C40+C41+C42+C43+C44</f>
        <v>8836.704870000001</v>
      </c>
      <c r="D39" s="57"/>
      <c r="E39" s="44"/>
    </row>
    <row r="40" spans="1:5" s="7" customFormat="1" ht="24" customHeight="1">
      <c r="A40" s="26" t="s">
        <v>165</v>
      </c>
      <c r="B40" s="17" t="s">
        <v>166</v>
      </c>
      <c r="C40" s="18">
        <v>343.786</v>
      </c>
      <c r="D40" s="58"/>
      <c r="E40" s="44"/>
    </row>
    <row r="41" spans="1:5" s="7" customFormat="1" ht="46.5">
      <c r="A41" s="16" t="s">
        <v>97</v>
      </c>
      <c r="B41" s="62" t="s">
        <v>98</v>
      </c>
      <c r="C41" s="18">
        <f>500-500+1749+1308</f>
        <v>3057</v>
      </c>
      <c r="D41" s="56"/>
      <c r="E41" s="44"/>
    </row>
    <row r="42" spans="1:5" s="7" customFormat="1" ht="30.75">
      <c r="A42" s="16" t="s">
        <v>85</v>
      </c>
      <c r="B42" s="17" t="s">
        <v>86</v>
      </c>
      <c r="C42" s="18">
        <f>1710+52.68216+450+152.05152-450+1143.95838</f>
        <v>3058.6920600000003</v>
      </c>
      <c r="D42" s="58"/>
      <c r="E42" s="44"/>
    </row>
    <row r="43" spans="1:5" s="7" customFormat="1" ht="30.75">
      <c r="A43" s="16" t="s">
        <v>70</v>
      </c>
      <c r="B43" s="17" t="s">
        <v>69</v>
      </c>
      <c r="C43" s="18">
        <f>4050-1750</f>
        <v>2300</v>
      </c>
      <c r="D43" s="58"/>
      <c r="E43" s="44"/>
    </row>
    <row r="44" spans="1:5" s="7" customFormat="1" ht="46.5">
      <c r="A44" s="16" t="s">
        <v>140</v>
      </c>
      <c r="B44" s="17" t="s">
        <v>141</v>
      </c>
      <c r="C44" s="18">
        <f>55+22.22681</f>
        <v>77.22681</v>
      </c>
      <c r="D44" s="58"/>
      <c r="E44" s="44"/>
    </row>
    <row r="45" spans="1:5" s="5" customFormat="1" ht="15">
      <c r="A45" s="13" t="s">
        <v>15</v>
      </c>
      <c r="B45" s="15" t="s">
        <v>16</v>
      </c>
      <c r="C45" s="14">
        <f>C46</f>
        <v>619.14409</v>
      </c>
      <c r="D45" s="59"/>
      <c r="E45" s="49"/>
    </row>
    <row r="46" spans="1:5" s="10" customFormat="1" ht="30.75">
      <c r="A46" s="16" t="s">
        <v>72</v>
      </c>
      <c r="B46" s="17" t="s">
        <v>71</v>
      </c>
      <c r="C46" s="18">
        <f>810-222.24046+28.49764+2.88691</f>
        <v>619.14409</v>
      </c>
      <c r="D46" s="53"/>
      <c r="E46" s="43"/>
    </row>
    <row r="47" spans="1:5" s="1" customFormat="1" ht="15">
      <c r="A47" s="13" t="s">
        <v>38</v>
      </c>
      <c r="B47" s="15" t="s">
        <v>39</v>
      </c>
      <c r="C47" s="14">
        <f>C48+C49+C50</f>
        <v>4050.9750400000003</v>
      </c>
      <c r="D47" s="53"/>
      <c r="E47" s="42"/>
    </row>
    <row r="48" spans="1:5" s="6" customFormat="1" ht="30.75">
      <c r="A48" s="16" t="s">
        <v>142</v>
      </c>
      <c r="B48" s="17" t="s">
        <v>118</v>
      </c>
      <c r="C48" s="18">
        <f>1237.225+75.55625+2.07276-2.07276+309.34344</f>
        <v>1622.12469</v>
      </c>
      <c r="D48" s="53"/>
      <c r="E48" s="47"/>
    </row>
    <row r="49" spans="1:5" s="6" customFormat="1" ht="46.5">
      <c r="A49" s="16" t="s">
        <v>143</v>
      </c>
      <c r="B49" s="17" t="s">
        <v>144</v>
      </c>
      <c r="C49" s="18">
        <f>5+2.07276+1.47759</f>
        <v>8.55035</v>
      </c>
      <c r="D49" s="53"/>
      <c r="E49" s="47"/>
    </row>
    <row r="50" spans="1:5" s="1" customFormat="1" ht="30.75">
      <c r="A50" s="16" t="s">
        <v>73</v>
      </c>
      <c r="B50" s="17" t="s">
        <v>74</v>
      </c>
      <c r="C50" s="18">
        <f>400+2000+20.3</f>
        <v>2420.3</v>
      </c>
      <c r="D50" s="53"/>
      <c r="E50" s="42"/>
    </row>
    <row r="51" spans="1:5" s="1" customFormat="1" ht="15">
      <c r="A51" s="13" t="s">
        <v>25</v>
      </c>
      <c r="B51" s="15" t="s">
        <v>26</v>
      </c>
      <c r="C51" s="14">
        <f>C52</f>
        <v>5327.34279</v>
      </c>
      <c r="D51" s="52"/>
      <c r="E51" s="42"/>
    </row>
    <row r="52" spans="1:5" s="1" customFormat="1" ht="15">
      <c r="A52" s="16" t="s">
        <v>76</v>
      </c>
      <c r="B52" s="17" t="s">
        <v>75</v>
      </c>
      <c r="C52" s="18">
        <f>453.8+834.16812+12+95.37383+693.67644+216.97895+787.05708+627.75+984.73912+257.05783+200.33844+30+134.40298</f>
        <v>5327.34279</v>
      </c>
      <c r="D52" s="56"/>
      <c r="E52" s="48"/>
    </row>
    <row r="53" spans="1:6" s="1" customFormat="1" ht="15">
      <c r="A53" s="13" t="s">
        <v>17</v>
      </c>
      <c r="B53" s="15" t="s">
        <v>18</v>
      </c>
      <c r="C53" s="14">
        <f>C54+C101+C103</f>
        <v>638321.0499399998</v>
      </c>
      <c r="D53" s="52"/>
      <c r="E53" s="42"/>
      <c r="F53" s="42"/>
    </row>
    <row r="54" spans="1:7" ht="16.5" customHeight="1">
      <c r="A54" s="13" t="s">
        <v>0</v>
      </c>
      <c r="B54" s="15" t="s">
        <v>1</v>
      </c>
      <c r="C54" s="14">
        <f>C55+C57+C85+C92</f>
        <v>638434.2197799999</v>
      </c>
      <c r="D54" s="55"/>
      <c r="F54" s="38"/>
      <c r="G54" s="24"/>
    </row>
    <row r="55" spans="1:6" s="1" customFormat="1" ht="15">
      <c r="A55" s="13" t="s">
        <v>2</v>
      </c>
      <c r="B55" s="15" t="s">
        <v>33</v>
      </c>
      <c r="C55" s="14">
        <f>SUM(C56:C56)</f>
        <v>29044</v>
      </c>
      <c r="D55" s="52"/>
      <c r="E55" s="42"/>
      <c r="F55" s="38"/>
    </row>
    <row r="56" spans="1:6" ht="15">
      <c r="A56" s="16" t="s">
        <v>77</v>
      </c>
      <c r="B56" s="17" t="s">
        <v>83</v>
      </c>
      <c r="C56" s="18">
        <v>29044</v>
      </c>
      <c r="D56" s="55"/>
      <c r="F56" s="38"/>
    </row>
    <row r="57" spans="1:7" ht="17.25" customHeight="1">
      <c r="A57" s="13" t="s">
        <v>99</v>
      </c>
      <c r="B57" s="15" t="s">
        <v>102</v>
      </c>
      <c r="C57" s="14">
        <f>C58+C62+C65</f>
        <v>510664.36158</v>
      </c>
      <c r="D57" s="55"/>
      <c r="F57" s="38"/>
      <c r="G57" s="24"/>
    </row>
    <row r="58" spans="1:6" ht="17.25" customHeight="1">
      <c r="A58" s="16" t="s">
        <v>121</v>
      </c>
      <c r="B58" s="17" t="s">
        <v>122</v>
      </c>
      <c r="C58" s="18">
        <f>C59</f>
        <v>4864.6328</v>
      </c>
      <c r="D58" s="55"/>
      <c r="F58" s="38"/>
    </row>
    <row r="59" spans="1:6" ht="17.25" customHeight="1">
      <c r="A59" s="16" t="s">
        <v>123</v>
      </c>
      <c r="B59" s="17" t="s">
        <v>124</v>
      </c>
      <c r="C59" s="18">
        <f>C60</f>
        <v>4864.6328</v>
      </c>
      <c r="D59" s="55"/>
      <c r="F59" s="38"/>
    </row>
    <row r="60" spans="1:6" ht="30.75">
      <c r="A60" s="16" t="s">
        <v>123</v>
      </c>
      <c r="B60" s="17" t="s">
        <v>125</v>
      </c>
      <c r="C60" s="18">
        <f>4551.585+62.001+251.0468</f>
        <v>4864.6328</v>
      </c>
      <c r="D60" s="55"/>
      <c r="F60" s="38"/>
    </row>
    <row r="61" spans="1:5" s="41" customFormat="1" ht="30.75">
      <c r="A61" s="39" t="s">
        <v>123</v>
      </c>
      <c r="B61" s="40" t="s">
        <v>126</v>
      </c>
      <c r="C61" s="51">
        <f>C60</f>
        <v>4864.6328</v>
      </c>
      <c r="D61" s="60"/>
      <c r="E61" s="50"/>
    </row>
    <row r="62" spans="1:5" s="41" customFormat="1" ht="15">
      <c r="A62" s="16" t="s">
        <v>154</v>
      </c>
      <c r="B62" s="17" t="s">
        <v>152</v>
      </c>
      <c r="C62" s="18">
        <f>C63</f>
        <v>4680.807199999999</v>
      </c>
      <c r="D62" s="60"/>
      <c r="E62" s="50"/>
    </row>
    <row r="63" spans="1:5" s="41" customFormat="1" ht="15">
      <c r="A63" s="16" t="s">
        <v>153</v>
      </c>
      <c r="B63" s="17" t="s">
        <v>155</v>
      </c>
      <c r="C63" s="18">
        <f>4417.132+263.6752</f>
        <v>4680.807199999999</v>
      </c>
      <c r="D63" s="60"/>
      <c r="E63" s="50"/>
    </row>
    <row r="64" spans="1:5" s="41" customFormat="1" ht="46.5">
      <c r="A64" s="39" t="s">
        <v>153</v>
      </c>
      <c r="B64" s="40" t="s">
        <v>156</v>
      </c>
      <c r="C64" s="51">
        <f>C63</f>
        <v>4680.807199999999</v>
      </c>
      <c r="D64" s="60"/>
      <c r="E64" s="50"/>
    </row>
    <row r="65" spans="1:4" ht="15">
      <c r="A65" s="16" t="s">
        <v>100</v>
      </c>
      <c r="B65" s="17" t="s">
        <v>101</v>
      </c>
      <c r="C65" s="18">
        <f>C66+C72+C75+C77+C79+C82</f>
        <v>501118.92158</v>
      </c>
      <c r="D65" s="55"/>
    </row>
    <row r="66" spans="1:4" ht="41.25">
      <c r="A66" s="33" t="s">
        <v>100</v>
      </c>
      <c r="B66" s="34" t="s">
        <v>103</v>
      </c>
      <c r="C66" s="35">
        <f>SUM(C67:C71)</f>
        <v>256538.25526</v>
      </c>
      <c r="D66" s="55"/>
    </row>
    <row r="67" spans="1:4" ht="27">
      <c r="A67" s="30" t="s">
        <v>100</v>
      </c>
      <c r="B67" s="31" t="s">
        <v>105</v>
      </c>
      <c r="C67" s="32">
        <v>103700</v>
      </c>
      <c r="D67" s="55"/>
    </row>
    <row r="68" spans="1:4" ht="27">
      <c r="A68" s="30" t="s">
        <v>100</v>
      </c>
      <c r="B68" s="31" t="s">
        <v>106</v>
      </c>
      <c r="C68" s="32">
        <v>133500</v>
      </c>
      <c r="D68" s="55"/>
    </row>
    <row r="69" spans="1:4" ht="13.5">
      <c r="A69" s="30" t="s">
        <v>100</v>
      </c>
      <c r="B69" s="31" t="s">
        <v>129</v>
      </c>
      <c r="C69" s="32">
        <f>18667.74-2584.48474</f>
        <v>16083.255260000002</v>
      </c>
      <c r="D69" s="61"/>
    </row>
    <row r="70" spans="1:5" s="41" customFormat="1" ht="54.75">
      <c r="A70" s="30" t="s">
        <v>100</v>
      </c>
      <c r="B70" s="31" t="s">
        <v>128</v>
      </c>
      <c r="C70" s="32">
        <v>3005</v>
      </c>
      <c r="D70" s="61"/>
      <c r="E70" s="50"/>
    </row>
    <row r="71" spans="1:5" s="41" customFormat="1" ht="27">
      <c r="A71" s="30" t="s">
        <v>100</v>
      </c>
      <c r="B71" s="31" t="s">
        <v>127</v>
      </c>
      <c r="C71" s="32">
        <f>250</f>
        <v>250</v>
      </c>
      <c r="D71" s="61"/>
      <c r="E71" s="50"/>
    </row>
    <row r="72" spans="1:5" s="41" customFormat="1" ht="41.25">
      <c r="A72" s="16" t="s">
        <v>100</v>
      </c>
      <c r="B72" s="34" t="s">
        <v>130</v>
      </c>
      <c r="C72" s="35">
        <f>SUM(C73:C74)</f>
        <v>113927.08159</v>
      </c>
      <c r="D72" s="60"/>
      <c r="E72" s="50"/>
    </row>
    <row r="73" spans="1:5" s="41" customFormat="1" ht="13.5">
      <c r="A73" s="30" t="s">
        <v>100</v>
      </c>
      <c r="B73" s="31" t="s">
        <v>131</v>
      </c>
      <c r="C73" s="32">
        <v>4300</v>
      </c>
      <c r="D73" s="60"/>
      <c r="E73" s="50"/>
    </row>
    <row r="74" spans="1:5" s="41" customFormat="1" ht="27">
      <c r="A74" s="30" t="s">
        <v>100</v>
      </c>
      <c r="B74" s="31" t="s">
        <v>132</v>
      </c>
      <c r="C74" s="32">
        <f>30812.8+70000-2076.55575+9740.83734+1150</f>
        <v>109627.08159</v>
      </c>
      <c r="D74" s="60"/>
      <c r="E74" s="50"/>
    </row>
    <row r="75" spans="1:4" ht="41.25">
      <c r="A75" s="33" t="s">
        <v>100</v>
      </c>
      <c r="B75" s="34" t="s">
        <v>134</v>
      </c>
      <c r="C75" s="35">
        <f>SUM(C76:C76)</f>
        <v>121060.368</v>
      </c>
      <c r="D75" s="55"/>
    </row>
    <row r="76" spans="1:5" s="41" customFormat="1" ht="27">
      <c r="A76" s="30" t="s">
        <v>100</v>
      </c>
      <c r="B76" s="31" t="s">
        <v>133</v>
      </c>
      <c r="C76" s="32">
        <f>17761.6+24242.328+25553.906+49276.182+5182.662+4226.352-5182.662</f>
        <v>121060.368</v>
      </c>
      <c r="D76" s="60"/>
      <c r="E76" s="50"/>
    </row>
    <row r="77" spans="1:5" s="41" customFormat="1" ht="27">
      <c r="A77" s="16" t="s">
        <v>100</v>
      </c>
      <c r="B77" s="34" t="s">
        <v>137</v>
      </c>
      <c r="C77" s="35">
        <f>C78</f>
        <v>4107.79</v>
      </c>
      <c r="D77" s="60"/>
      <c r="E77" s="50"/>
    </row>
    <row r="78" spans="1:5" s="41" customFormat="1" ht="13.5">
      <c r="A78" s="30" t="s">
        <v>100</v>
      </c>
      <c r="B78" s="31" t="s">
        <v>138</v>
      </c>
      <c r="C78" s="32">
        <v>4107.79</v>
      </c>
      <c r="D78" s="60"/>
      <c r="E78" s="50"/>
    </row>
    <row r="79" spans="1:4" ht="27">
      <c r="A79" s="16" t="s">
        <v>100</v>
      </c>
      <c r="B79" s="34" t="s">
        <v>104</v>
      </c>
      <c r="C79" s="35">
        <f>SUM(C80:C81)</f>
        <v>5071.47519</v>
      </c>
      <c r="D79" s="55"/>
    </row>
    <row r="80" spans="1:5" s="41" customFormat="1" ht="13.5">
      <c r="A80" s="30" t="s">
        <v>100</v>
      </c>
      <c r="B80" s="31" t="s">
        <v>135</v>
      </c>
      <c r="C80" s="32">
        <f>3635.97519+36-36</f>
        <v>3635.97519</v>
      </c>
      <c r="D80" s="60"/>
      <c r="E80" s="50"/>
    </row>
    <row r="81" spans="1:5" s="41" customFormat="1" ht="13.5">
      <c r="A81" s="30" t="s">
        <v>100</v>
      </c>
      <c r="B81" s="31" t="s">
        <v>139</v>
      </c>
      <c r="C81" s="32">
        <f>1435.5</f>
        <v>1435.5</v>
      </c>
      <c r="D81" s="60"/>
      <c r="E81" s="50"/>
    </row>
    <row r="82" spans="1:4" ht="41.25">
      <c r="A82" s="16" t="s">
        <v>100</v>
      </c>
      <c r="B82" s="34" t="s">
        <v>157</v>
      </c>
      <c r="C82" s="35">
        <f>SUM(C83:C84)</f>
        <v>413.95154</v>
      </c>
      <c r="D82" s="55"/>
    </row>
    <row r="83" spans="1:5" s="41" customFormat="1" ht="13.5">
      <c r="A83" s="30" t="s">
        <v>100</v>
      </c>
      <c r="B83" s="31" t="s">
        <v>136</v>
      </c>
      <c r="C83" s="32">
        <f>138.46154-24.51</f>
        <v>113.95154000000001</v>
      </c>
      <c r="D83" s="60"/>
      <c r="E83" s="50"/>
    </row>
    <row r="84" spans="1:5" s="41" customFormat="1" ht="27">
      <c r="A84" s="30" t="s">
        <v>100</v>
      </c>
      <c r="B84" s="31" t="s">
        <v>158</v>
      </c>
      <c r="C84" s="32">
        <f>300</f>
        <v>300</v>
      </c>
      <c r="D84" s="60"/>
      <c r="E84" s="50"/>
    </row>
    <row r="85" spans="1:6" s="5" customFormat="1" ht="15">
      <c r="A85" s="13" t="s">
        <v>34</v>
      </c>
      <c r="B85" s="15" t="s">
        <v>35</v>
      </c>
      <c r="C85" s="14">
        <f>SUM(C86:C87)</f>
        <v>83830.0382</v>
      </c>
      <c r="D85" s="59"/>
      <c r="E85" s="49"/>
      <c r="F85" s="49"/>
    </row>
    <row r="86" spans="1:5" s="1" customFormat="1" ht="30.75">
      <c r="A86" s="16" t="s">
        <v>79</v>
      </c>
      <c r="B86" s="17" t="s">
        <v>78</v>
      </c>
      <c r="C86" s="18">
        <f>57426+2238.901</f>
        <v>59664.901</v>
      </c>
      <c r="D86" s="52"/>
      <c r="E86" s="42"/>
    </row>
    <row r="87" spans="1:4" ht="15">
      <c r="A87" s="16" t="s">
        <v>81</v>
      </c>
      <c r="B87" s="17" t="s">
        <v>80</v>
      </c>
      <c r="C87" s="18">
        <f>SUM(C88:C91)</f>
        <v>24165.1372</v>
      </c>
      <c r="D87" s="55"/>
    </row>
    <row r="88" spans="1:4" ht="41.25">
      <c r="A88" s="30" t="s">
        <v>81</v>
      </c>
      <c r="B88" s="31" t="s">
        <v>56</v>
      </c>
      <c r="C88" s="32">
        <f>18739+3.2984+3.2984+2025+2748.4</f>
        <v>23518.9968</v>
      </c>
      <c r="D88" s="55"/>
    </row>
    <row r="89" spans="1:4" ht="27">
      <c r="A89" s="30" t="s">
        <v>81</v>
      </c>
      <c r="B89" s="31" t="s">
        <v>111</v>
      </c>
      <c r="C89" s="32">
        <v>393.7</v>
      </c>
      <c r="D89" s="55"/>
    </row>
    <row r="90" spans="1:4" ht="27">
      <c r="A90" s="30" t="s">
        <v>81</v>
      </c>
      <c r="B90" s="31" t="s">
        <v>163</v>
      </c>
      <c r="C90" s="32">
        <f>56.656</f>
        <v>56.656</v>
      </c>
      <c r="D90" s="55"/>
    </row>
    <row r="91" spans="1:4" ht="27">
      <c r="A91" s="30" t="s">
        <v>81</v>
      </c>
      <c r="B91" s="31" t="s">
        <v>159</v>
      </c>
      <c r="C91" s="32">
        <v>195.7844</v>
      </c>
      <c r="D91" s="55"/>
    </row>
    <row r="92" spans="1:4" ht="15">
      <c r="A92" s="13" t="s">
        <v>109</v>
      </c>
      <c r="B92" s="36" t="s">
        <v>110</v>
      </c>
      <c r="C92" s="45">
        <f>C93</f>
        <v>14895.82</v>
      </c>
      <c r="D92" s="55"/>
    </row>
    <row r="93" spans="1:4" ht="15">
      <c r="A93" s="16" t="s">
        <v>112</v>
      </c>
      <c r="B93" s="34" t="s">
        <v>113</v>
      </c>
      <c r="C93" s="35">
        <f>SUM(C94:C100)</f>
        <v>14895.82</v>
      </c>
      <c r="D93" s="55"/>
    </row>
    <row r="94" spans="1:5" s="41" customFormat="1" ht="13.5">
      <c r="A94" s="30" t="s">
        <v>112</v>
      </c>
      <c r="B94" s="31" t="s">
        <v>114</v>
      </c>
      <c r="C94" s="32">
        <f>3638.72</f>
        <v>3638.72</v>
      </c>
      <c r="D94" s="60"/>
      <c r="E94" s="50"/>
    </row>
    <row r="95" spans="1:5" s="41" customFormat="1" ht="13.5">
      <c r="A95" s="30" t="s">
        <v>112</v>
      </c>
      <c r="B95" s="31" t="s">
        <v>115</v>
      </c>
      <c r="C95" s="32">
        <f>300</f>
        <v>300</v>
      </c>
      <c r="D95" s="60"/>
      <c r="E95" s="50"/>
    </row>
    <row r="96" spans="1:5" s="41" customFormat="1" ht="13.5">
      <c r="A96" s="30" t="s">
        <v>112</v>
      </c>
      <c r="B96" s="31" t="s">
        <v>116</v>
      </c>
      <c r="C96" s="32">
        <f>2024.2</f>
        <v>2024.2</v>
      </c>
      <c r="D96" s="60"/>
      <c r="E96" s="50"/>
    </row>
    <row r="97" spans="1:5" s="41" customFormat="1" ht="13.5">
      <c r="A97" s="30" t="s">
        <v>112</v>
      </c>
      <c r="B97" s="31" t="s">
        <v>117</v>
      </c>
      <c r="C97" s="32">
        <f>1302.9</f>
        <v>1302.9</v>
      </c>
      <c r="D97" s="60"/>
      <c r="E97" s="50"/>
    </row>
    <row r="98" spans="1:5" s="41" customFormat="1" ht="13.5">
      <c r="A98" s="30" t="s">
        <v>112</v>
      </c>
      <c r="B98" s="31" t="s">
        <v>151</v>
      </c>
      <c r="C98" s="32">
        <v>1600</v>
      </c>
      <c r="D98" s="60"/>
      <c r="E98" s="50"/>
    </row>
    <row r="99" spans="1:5" s="41" customFormat="1" ht="27">
      <c r="A99" s="30" t="s">
        <v>112</v>
      </c>
      <c r="B99" s="31" t="s">
        <v>160</v>
      </c>
      <c r="C99" s="32">
        <f>30</f>
        <v>30</v>
      </c>
      <c r="D99" s="60"/>
      <c r="E99" s="50"/>
    </row>
    <row r="100" spans="1:5" s="41" customFormat="1" ht="23.25" customHeight="1">
      <c r="A100" s="30" t="s">
        <v>112</v>
      </c>
      <c r="B100" s="31" t="s">
        <v>164</v>
      </c>
      <c r="C100" s="32">
        <v>6000</v>
      </c>
      <c r="D100" s="60"/>
      <c r="E100" s="50"/>
    </row>
    <row r="101" spans="1:4" ht="15">
      <c r="A101" s="13" t="s">
        <v>162</v>
      </c>
      <c r="B101" s="36" t="s">
        <v>120</v>
      </c>
      <c r="C101" s="45">
        <f>C102</f>
        <v>85.44</v>
      </c>
      <c r="D101" s="55"/>
    </row>
    <row r="102" spans="1:5" s="38" customFormat="1" ht="15">
      <c r="A102" s="16" t="s">
        <v>161</v>
      </c>
      <c r="B102" s="34" t="s">
        <v>119</v>
      </c>
      <c r="C102" s="35">
        <f>50+47.26+14-25.82</f>
        <v>85.44</v>
      </c>
      <c r="D102" s="56"/>
      <c r="E102" s="48"/>
    </row>
    <row r="103" spans="1:5" s="38" customFormat="1" ht="30.75">
      <c r="A103" s="13" t="s">
        <v>147</v>
      </c>
      <c r="B103" s="15" t="s">
        <v>148</v>
      </c>
      <c r="C103" s="45">
        <f>C104</f>
        <v>-198.60984000000002</v>
      </c>
      <c r="D103" s="56"/>
      <c r="E103" s="48"/>
    </row>
    <row r="104" spans="1:5" s="38" customFormat="1" ht="30.75">
      <c r="A104" s="16" t="s">
        <v>149</v>
      </c>
      <c r="B104" s="17" t="s">
        <v>150</v>
      </c>
      <c r="C104" s="37">
        <f>-0.17821-195.7844-2.64723</f>
        <v>-198.60984000000002</v>
      </c>
      <c r="D104" s="56"/>
      <c r="E104" s="48"/>
    </row>
    <row r="105" spans="1:4" ht="15">
      <c r="A105" s="13" t="s">
        <v>19</v>
      </c>
      <c r="B105" s="15" t="s">
        <v>3</v>
      </c>
      <c r="C105" s="19">
        <f>C8+C53</f>
        <v>978012.1739799998</v>
      </c>
      <c r="D105" s="24"/>
    </row>
    <row r="106" spans="1:4" ht="15">
      <c r="A106" s="20"/>
      <c r="B106" s="21"/>
      <c r="C106" s="22"/>
      <c r="D106" s="24"/>
    </row>
    <row r="107" ht="12.75">
      <c r="D107" s="24"/>
    </row>
    <row r="112" ht="12.75">
      <c r="C112" s="9"/>
    </row>
  </sheetData>
  <sheetProtection/>
  <mergeCells count="5">
    <mergeCell ref="B1:C1"/>
    <mergeCell ref="A4:C4"/>
    <mergeCell ref="A6:A7"/>
    <mergeCell ref="B6:B7"/>
    <mergeCell ref="C6:C7"/>
  </mergeCells>
  <printOptions/>
  <pageMargins left="0.4330708661417323" right="0.2362204724409449" top="0.3937007874015748" bottom="0.2362204724409449" header="0.3937007874015748" footer="0.2755905511811024"/>
  <pageSetup fitToHeight="2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yghhjsdwd</cp:lastModifiedBy>
  <cp:lastPrinted>2016-12-07T04:29:04Z</cp:lastPrinted>
  <dcterms:created xsi:type="dcterms:W3CDTF">2004-09-10T07:33:41Z</dcterms:created>
  <dcterms:modified xsi:type="dcterms:W3CDTF">2016-12-15T01:58:36Z</dcterms:modified>
  <cp:category/>
  <cp:version/>
  <cp:contentType/>
  <cp:contentStatus/>
</cp:coreProperties>
</file>