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firstSheet="7" activeTab="11"/>
  </bookViews>
  <sheets>
    <sheet name="прил.1 фин. об." sheetId="1" r:id="rId1"/>
    <sheet name="прил.2 Подп.1 " sheetId="10" r:id="rId2"/>
    <sheet name="прил.3 Подп.1  2018г" sheetId="13" r:id="rId3"/>
    <sheet name="прил.3.1 Подп.1  2019г " sheetId="17" r:id="rId4"/>
    <sheet name="прил.3.2 Подп.1 2020г " sheetId="36" r:id="rId5"/>
    <sheet name="прил.3.3 Подп.1 2021г" sheetId="46" r:id="rId6"/>
    <sheet name="прил.3.4 Подп.1  2022г " sheetId="24" r:id="rId7"/>
    <sheet name="прил.3.5 Подп.1  2023г " sheetId="30" r:id="rId8"/>
    <sheet name="прил.3.6 Подп.1  2024г " sheetId="45" r:id="rId9"/>
    <sheet name="прил.3.7 Подп.1 2025г" sheetId="50" r:id="rId10"/>
    <sheet name="Прил.4 Подп.2 2018г" sheetId="12" r:id="rId11"/>
    <sheet name="Прил.4.1 Подп.2 2019г" sheetId="18" r:id="rId12"/>
    <sheet name="Прил.4.2 Подп.2 2020г   " sheetId="41" r:id="rId13"/>
    <sheet name="Прил.4.3 Подп.2 2021г." sheetId="25" r:id="rId14"/>
    <sheet name="Прил.4.4 Подп.2 2022г." sheetId="42" r:id="rId15"/>
    <sheet name="Прил.4.5 Подп.2 2023г. " sheetId="43" r:id="rId16"/>
    <sheet name="Прил.4.6 Подп.2 2024г. " sheetId="44" r:id="rId17"/>
    <sheet name="Прил.4.7 Подп.2 2025г. " sheetId="47" r:id="rId18"/>
    <sheet name="прил.5 расчет" sheetId="3" r:id="rId19"/>
    <sheet name="прил.5.1 расчет 2019г" sheetId="19" r:id="rId20"/>
    <sheet name="прил.6 показ.-инд. " sheetId="4" r:id="rId21"/>
    <sheet name="прил.7перечень двор" sheetId="15" r:id="rId22"/>
    <sheet name="прил.7.1 адрес. пер." sheetId="6" r:id="rId23"/>
    <sheet name="прил.8 перечень общ. тер. " sheetId="16" r:id="rId24"/>
    <sheet name="прил.8.1 общ. тер." sheetId="14" r:id="rId25"/>
    <sheet name="прил.9 парк" sheetId="8" r:id="rId26"/>
    <sheet name="прил.10 юр. лица" sheetId="9" r:id="rId27"/>
    <sheet name="Лист1" sheetId="20" r:id="rId28"/>
  </sheets>
  <definedNames>
    <definedName name="_xlnm.Print_Titles" localSheetId="14">'Прил.4.4 Подп.2 2022г.'!$3:$5</definedName>
    <definedName name="_xlnm.Print_Titles" localSheetId="20">'прил.6 показ.-инд. '!$5:$6</definedName>
    <definedName name="_xlnm.Print_Area" localSheetId="1">'прил.2 Подп.1 '!$A$1:$M$50</definedName>
    <definedName name="_xlnm.Print_Area" localSheetId="4">'прил.3.2 Подп.1 2020г '!$A$1:$H$133</definedName>
    <definedName name="_xlnm.Print_Area" localSheetId="5">'прил.3.3 Подп.1 2021г'!$A$1:$H$86</definedName>
    <definedName name="_xlnm.Print_Area" localSheetId="13">'Прил.4.3 Подп.2 2021г.'!$A$1:$J$122</definedName>
    <definedName name="_xlnm.Print_Area" localSheetId="14">'Прил.4.4 Подп.2 2022г.'!$A$1:$K$240</definedName>
    <definedName name="_xlnm.Print_Area" localSheetId="15">'Прил.4.5 Подп.2 2023г. '!$A$1:$J$116</definedName>
    <definedName name="_xlnm.Print_Area" localSheetId="16">'Прил.4.6 Подп.2 2024г. '!$A$1:$J$113</definedName>
    <definedName name="_xlnm.Print_Area" localSheetId="17">'Прил.4.7 Подп.2 2025г. '!$A$1:$J$113</definedName>
  </definedNames>
  <calcPr calcId="125725"/>
</workbook>
</file>

<file path=xl/calcChain.xml><?xml version="1.0" encoding="utf-8"?>
<calcChain xmlns="http://schemas.openxmlformats.org/spreadsheetml/2006/main">
  <c r="K41" i="10"/>
  <c r="G9" i="30"/>
  <c r="G8"/>
  <c r="G62" i="24"/>
  <c r="G65"/>
  <c r="K14" i="4"/>
  <c r="K10"/>
  <c r="K9"/>
  <c r="G45" i="44"/>
  <c r="D10" i="1"/>
  <c r="D16"/>
  <c r="D19"/>
  <c r="G38" i="50" l="1"/>
  <c r="G36"/>
  <c r="G35"/>
  <c r="G37" s="1"/>
  <c r="G32"/>
  <c r="G31"/>
  <c r="G33" s="1"/>
  <c r="G28"/>
  <c r="G27"/>
  <c r="G29" s="1"/>
  <c r="G24"/>
  <c r="G23"/>
  <c r="G25" s="1"/>
  <c r="G20"/>
  <c r="G19"/>
  <c r="G21" s="1"/>
  <c r="G14"/>
  <c r="G13"/>
  <c r="G12"/>
  <c r="G11"/>
  <c r="G10"/>
  <c r="G12" i="45" l="1"/>
  <c r="G13"/>
  <c r="G11"/>
  <c r="G38"/>
  <c r="G14"/>
  <c r="M34" i="10"/>
  <c r="M33"/>
  <c r="M32"/>
  <c r="M30"/>
  <c r="M29"/>
  <c r="M28"/>
  <c r="L34"/>
  <c r="L33"/>
  <c r="L32"/>
  <c r="L30"/>
  <c r="L29"/>
  <c r="L28"/>
  <c r="M47"/>
  <c r="M42"/>
  <c r="M39" s="1"/>
  <c r="M35"/>
  <c r="M26"/>
  <c r="M19"/>
  <c r="M15"/>
  <c r="M12"/>
  <c r="M13"/>
  <c r="M14"/>
  <c r="M31" l="1"/>
  <c r="M24"/>
  <c r="M27"/>
  <c r="M25"/>
  <c r="M9" s="1"/>
  <c r="M8"/>
  <c r="M10"/>
  <c r="M11"/>
  <c r="M7" l="1"/>
  <c r="M23"/>
  <c r="G143" i="42" l="1"/>
  <c r="G189"/>
  <c r="G190"/>
  <c r="G77" i="44"/>
  <c r="G101"/>
  <c r="G101" i="47"/>
  <c r="G77"/>
  <c r="G47" i="43"/>
  <c r="G38" i="44" l="1"/>
  <c r="G38" i="47"/>
  <c r="G110" s="1"/>
  <c r="G52" i="50"/>
  <c r="G51"/>
  <c r="I10"/>
  <c r="I21" s="1"/>
  <c r="G9"/>
  <c r="L14" i="1" s="1"/>
  <c r="G8" i="50"/>
  <c r="L13" i="1" s="1"/>
  <c r="G7" i="50"/>
  <c r="G6" s="1"/>
  <c r="G105" i="47"/>
  <c r="G102"/>
  <c r="G100"/>
  <c r="G99" s="1"/>
  <c r="G96"/>
  <c r="G93"/>
  <c r="G90"/>
  <c r="G87"/>
  <c r="G76"/>
  <c r="G75" s="1"/>
  <c r="G60"/>
  <c r="G57"/>
  <c r="G54"/>
  <c r="G51"/>
  <c r="G48"/>
  <c r="G46"/>
  <c r="G45"/>
  <c r="G42"/>
  <c r="G40"/>
  <c r="G39" s="1"/>
  <c r="G33"/>
  <c r="G32"/>
  <c r="G31"/>
  <c r="G27"/>
  <c r="G24"/>
  <c r="G21"/>
  <c r="G18"/>
  <c r="G15"/>
  <c r="G12"/>
  <c r="G9"/>
  <c r="G6"/>
  <c r="G110" i="44"/>
  <c r="G105"/>
  <c r="G102"/>
  <c r="G100"/>
  <c r="G99" s="1"/>
  <c r="G96"/>
  <c r="G93"/>
  <c r="G90"/>
  <c r="G87"/>
  <c r="G76"/>
  <c r="G75" s="1"/>
  <c r="G60"/>
  <c r="G57"/>
  <c r="G54"/>
  <c r="G51"/>
  <c r="G48"/>
  <c r="G46"/>
  <c r="G42"/>
  <c r="G40"/>
  <c r="G39" s="1"/>
  <c r="G33"/>
  <c r="G32"/>
  <c r="G31"/>
  <c r="G30" s="1"/>
  <c r="G27"/>
  <c r="G24"/>
  <c r="G21"/>
  <c r="G18"/>
  <c r="G15"/>
  <c r="G12"/>
  <c r="G9"/>
  <c r="G6"/>
  <c r="G52" i="45"/>
  <c r="G51"/>
  <c r="G10"/>
  <c r="G9"/>
  <c r="G8"/>
  <c r="G7"/>
  <c r="G50" i="30"/>
  <c r="G38"/>
  <c r="G14"/>
  <c r="G13"/>
  <c r="G12"/>
  <c r="G10" s="1"/>
  <c r="G7"/>
  <c r="G50" i="45" l="1"/>
  <c r="G30" i="47"/>
  <c r="L12" i="1"/>
  <c r="G6" i="45"/>
  <c r="G37" i="47"/>
  <c r="G36" s="1"/>
  <c r="G50" i="50"/>
  <c r="I20"/>
  <c r="I19"/>
  <c r="G108" i="47"/>
  <c r="G37" i="44"/>
  <c r="G6" i="30"/>
  <c r="M238" i="42"/>
  <c r="G188"/>
  <c r="G109" i="47" l="1"/>
  <c r="I43" i="50"/>
  <c r="I44"/>
  <c r="G109" i="44"/>
  <c r="G36"/>
  <c r="G108" s="1"/>
  <c r="G107" i="24"/>
  <c r="G102"/>
  <c r="I15" i="50" l="1"/>
  <c r="I45"/>
  <c r="I16"/>
  <c r="G64" i="24" l="1"/>
  <c r="G63"/>
  <c r="G66"/>
  <c r="G97"/>
  <c r="G92"/>
  <c r="G87"/>
  <c r="D11" i="42" l="1"/>
  <c r="G42"/>
  <c r="G39"/>
  <c r="D46"/>
  <c r="J46"/>
  <c r="D47"/>
  <c r="J47"/>
  <c r="J48"/>
  <c r="G49"/>
  <c r="G46" s="1"/>
  <c r="G50"/>
  <c r="G47" s="1"/>
  <c r="D78"/>
  <c r="D10"/>
  <c r="K47" l="1"/>
  <c r="K50"/>
  <c r="K49"/>
  <c r="G48"/>
  <c r="K48" s="1"/>
  <c r="D8"/>
  <c r="J45"/>
  <c r="G45"/>
  <c r="K46"/>
  <c r="K45" l="1"/>
  <c r="G141"/>
  <c r="G138"/>
  <c r="G135"/>
  <c r="G80" l="1"/>
  <c r="G146"/>
  <c r="G132"/>
  <c r="G82" i="24"/>
  <c r="G17"/>
  <c r="G18"/>
  <c r="G19"/>
  <c r="G20"/>
  <c r="G21"/>
  <c r="G43"/>
  <c r="G44"/>
  <c r="G45"/>
  <c r="G46"/>
  <c r="G47"/>
  <c r="G52"/>
  <c r="G42" l="1"/>
  <c r="G16"/>
  <c r="K38" i="42"/>
  <c r="K37"/>
  <c r="G18"/>
  <c r="G20" s="1"/>
  <c r="G232"/>
  <c r="G123"/>
  <c r="G111"/>
  <c r="G129"/>
  <c r="G126"/>
  <c r="G120"/>
  <c r="G117"/>
  <c r="G114"/>
  <c r="G108"/>
  <c r="G105"/>
  <c r="G102"/>
  <c r="G99"/>
  <c r="G96"/>
  <c r="G36"/>
  <c r="K36" s="1"/>
  <c r="L11" i="1" l="1"/>
  <c r="L7"/>
  <c r="L10"/>
  <c r="G113" i="47"/>
  <c r="D32"/>
  <c r="D31"/>
  <c r="D8"/>
  <c r="D10"/>
  <c r="D7" s="1"/>
  <c r="L18" i="1"/>
  <c r="L9" s="1"/>
  <c r="G111" i="47" l="1"/>
  <c r="G112"/>
  <c r="I112" s="1"/>
  <c r="G180" i="42"/>
  <c r="G170"/>
  <c r="G71" s="1"/>
  <c r="G35" l="1"/>
  <c r="L17" i="1"/>
  <c r="D187" i="42"/>
  <c r="G34"/>
  <c r="G10" s="1"/>
  <c r="G27"/>
  <c r="J10"/>
  <c r="K35" l="1"/>
  <c r="G11"/>
  <c r="L8" i="1"/>
  <c r="L15"/>
  <c r="G77" i="24"/>
  <c r="L6" i="1" l="1"/>
  <c r="K34" i="42"/>
  <c r="K32"/>
  <c r="K31"/>
  <c r="K29"/>
  <c r="K28"/>
  <c r="K26"/>
  <c r="K25"/>
  <c r="K23"/>
  <c r="K22"/>
  <c r="K19"/>
  <c r="K18"/>
  <c r="K17"/>
  <c r="K16"/>
  <c r="K13"/>
  <c r="K14"/>
  <c r="J30"/>
  <c r="J27"/>
  <c r="K27" s="1"/>
  <c r="J24"/>
  <c r="J21"/>
  <c r="J20"/>
  <c r="J11" s="1"/>
  <c r="J15"/>
  <c r="J12"/>
  <c r="K10" l="1"/>
  <c r="J9"/>
  <c r="J8"/>
  <c r="J7"/>
  <c r="J6" l="1"/>
  <c r="G21" l="1"/>
  <c r="K21" s="1"/>
  <c r="G24"/>
  <c r="K24" s="1"/>
  <c r="G15" l="1"/>
  <c r="K15" s="1"/>
  <c r="K7" l="1"/>
  <c r="G227" l="1"/>
  <c r="G223"/>
  <c r="G219"/>
  <c r="G215"/>
  <c r="G211"/>
  <c r="G207"/>
  <c r="G203"/>
  <c r="G199"/>
  <c r="G195"/>
  <c r="G191"/>
  <c r="G187"/>
  <c r="I16" i="1"/>
  <c r="L42" i="10" l="1"/>
  <c r="K42"/>
  <c r="G50" i="46"/>
  <c r="D42" i="24"/>
  <c r="D44"/>
  <c r="D7" i="42"/>
  <c r="I50" i="10" l="1"/>
  <c r="G74" i="46"/>
  <c r="I42" i="10" s="1"/>
  <c r="D34" i="46"/>
  <c r="D33"/>
  <c r="D32"/>
  <c r="D31"/>
  <c r="E49" i="10"/>
  <c r="E48"/>
  <c r="L47"/>
  <c r="K47"/>
  <c r="I47"/>
  <c r="H47"/>
  <c r="G47"/>
  <c r="F47"/>
  <c r="F10" i="4"/>
  <c r="J10"/>
  <c r="I10"/>
  <c r="H10"/>
  <c r="G10"/>
  <c r="J9" l="1"/>
  <c r="I9"/>
  <c r="D16" i="24"/>
  <c r="G11" i="4" l="1"/>
  <c r="D11" i="25"/>
  <c r="J14" i="4" l="1"/>
  <c r="I14"/>
  <c r="H14"/>
  <c r="G14"/>
  <c r="G77" i="25"/>
  <c r="J40" i="10"/>
  <c r="J41"/>
  <c r="J42"/>
  <c r="G72" i="24" l="1"/>
  <c r="G177" i="42" l="1"/>
  <c r="G115" i="24"/>
  <c r="J50" i="10" s="1"/>
  <c r="J47" s="1"/>
  <c r="E47" s="1"/>
  <c r="G132" i="24" l="1"/>
  <c r="G127"/>
  <c r="G122"/>
  <c r="G117"/>
  <c r="G114"/>
  <c r="G113"/>
  <c r="G112" l="1"/>
  <c r="G81" i="46"/>
  <c r="G53" i="25"/>
  <c r="G52"/>
  <c r="G78"/>
  <c r="G75"/>
  <c r="G72"/>
  <c r="G69"/>
  <c r="G66"/>
  <c r="G63"/>
  <c r="G60"/>
  <c r="G57"/>
  <c r="D51"/>
  <c r="G83"/>
  <c r="G105"/>
  <c r="G114"/>
  <c r="G111"/>
  <c r="G109"/>
  <c r="G102"/>
  <c r="G99"/>
  <c r="G96"/>
  <c r="G93"/>
  <c r="G82"/>
  <c r="G48"/>
  <c r="G46"/>
  <c r="G45" s="1"/>
  <c r="G39"/>
  <c r="G38"/>
  <c r="G37"/>
  <c r="G33"/>
  <c r="G32"/>
  <c r="G31"/>
  <c r="G30" s="1"/>
  <c r="G27"/>
  <c r="G24"/>
  <c r="G21"/>
  <c r="G18"/>
  <c r="G17"/>
  <c r="G15"/>
  <c r="G12"/>
  <c r="G11"/>
  <c r="G8" s="1"/>
  <c r="G10" l="1"/>
  <c r="G36"/>
  <c r="G81"/>
  <c r="G120"/>
  <c r="G110"/>
  <c r="G108" s="1"/>
  <c r="G51"/>
  <c r="G44"/>
  <c r="G119" s="1"/>
  <c r="G43"/>
  <c r="G7" l="1"/>
  <c r="G6" s="1"/>
  <c r="G9"/>
  <c r="G42"/>
  <c r="G117" s="1"/>
  <c r="G118" l="1"/>
  <c r="G12" i="42"/>
  <c r="K12" s="1"/>
  <c r="G9" i="43"/>
  <c r="G67" i="24"/>
  <c r="G35" i="46"/>
  <c r="G71" l="1"/>
  <c r="G76"/>
  <c r="K29" i="10"/>
  <c r="K28"/>
  <c r="G43"/>
  <c r="H43"/>
  <c r="J43"/>
  <c r="K43"/>
  <c r="L43"/>
  <c r="F43"/>
  <c r="E44"/>
  <c r="E45"/>
  <c r="H33"/>
  <c r="H32"/>
  <c r="G19"/>
  <c r="H19"/>
  <c r="I19"/>
  <c r="J19"/>
  <c r="K19"/>
  <c r="L19"/>
  <c r="F19"/>
  <c r="G15"/>
  <c r="H15"/>
  <c r="I15"/>
  <c r="J15"/>
  <c r="K15"/>
  <c r="L15"/>
  <c r="F15"/>
  <c r="G14"/>
  <c r="H14"/>
  <c r="I14"/>
  <c r="J14"/>
  <c r="K14"/>
  <c r="L14"/>
  <c r="G13"/>
  <c r="H13"/>
  <c r="I13"/>
  <c r="J13"/>
  <c r="K13"/>
  <c r="L13"/>
  <c r="G12"/>
  <c r="G11" s="1"/>
  <c r="H12"/>
  <c r="I12"/>
  <c r="J12"/>
  <c r="K12"/>
  <c r="K11" s="1"/>
  <c r="L12"/>
  <c r="J39"/>
  <c r="K39"/>
  <c r="L39"/>
  <c r="F39"/>
  <c r="L35"/>
  <c r="H35"/>
  <c r="I35"/>
  <c r="J35"/>
  <c r="K35"/>
  <c r="J11"/>
  <c r="E16"/>
  <c r="E17"/>
  <c r="E18"/>
  <c r="E20"/>
  <c r="E21"/>
  <c r="E22"/>
  <c r="L25" l="1"/>
  <c r="L9" s="1"/>
  <c r="I39"/>
  <c r="E19"/>
  <c r="L31"/>
  <c r="L26"/>
  <c r="L10" s="1"/>
  <c r="L27"/>
  <c r="L24"/>
  <c r="L8" s="1"/>
  <c r="E15"/>
  <c r="L11"/>
  <c r="I11"/>
  <c r="H11"/>
  <c r="F10" i="1"/>
  <c r="H10"/>
  <c r="I10"/>
  <c r="J10"/>
  <c r="K10"/>
  <c r="L7" i="10" l="1"/>
  <c r="L23"/>
  <c r="G15" i="24"/>
  <c r="G10" s="1"/>
  <c r="G57"/>
  <c r="G14" l="1"/>
  <c r="J9"/>
  <c r="O9" s="1"/>
  <c r="G13"/>
  <c r="G8" s="1"/>
  <c r="I13" i="1" s="1"/>
  <c r="J8" i="24"/>
  <c r="O8" s="1"/>
  <c r="J34" i="10"/>
  <c r="J32"/>
  <c r="J33"/>
  <c r="G9" i="24" l="1"/>
  <c r="I14" i="1" s="1"/>
  <c r="D14" s="1"/>
  <c r="J31" i="10"/>
  <c r="J29"/>
  <c r="J25" s="1"/>
  <c r="J9" s="1"/>
  <c r="J30"/>
  <c r="J26" s="1"/>
  <c r="J10" s="1"/>
  <c r="K29" i="25" l="1"/>
  <c r="K28"/>
  <c r="K26"/>
  <c r="K25"/>
  <c r="K23"/>
  <c r="K22"/>
  <c r="K20"/>
  <c r="K19"/>
  <c r="K16"/>
  <c r="K13"/>
  <c r="J11"/>
  <c r="J10"/>
  <c r="J24"/>
  <c r="J27"/>
  <c r="J21"/>
  <c r="J18"/>
  <c r="J15"/>
  <c r="J12"/>
  <c r="J9" l="1"/>
  <c r="G39" i="46"/>
  <c r="I34" i="10" s="1"/>
  <c r="G38" i="46"/>
  <c r="G33" s="1"/>
  <c r="I33" i="10" s="1"/>
  <c r="G37" i="46"/>
  <c r="G68"/>
  <c r="G67"/>
  <c r="G61"/>
  <c r="G56"/>
  <c r="G51"/>
  <c r="G46"/>
  <c r="G41"/>
  <c r="G34"/>
  <c r="G32"/>
  <c r="I32" i="10" s="1"/>
  <c r="G20" i="46"/>
  <c r="G19"/>
  <c r="I30" i="10" s="1"/>
  <c r="G18" i="46"/>
  <c r="I29" i="10" s="1"/>
  <c r="G17" i="46"/>
  <c r="I28" i="10" s="1"/>
  <c r="D16" i="46"/>
  <c r="H9" i="4"/>
  <c r="K13" i="1"/>
  <c r="K12"/>
  <c r="K7" s="1"/>
  <c r="I10" i="45"/>
  <c r="I20" s="1"/>
  <c r="G113" i="44"/>
  <c r="D32"/>
  <c r="D31"/>
  <c r="D10"/>
  <c r="D8"/>
  <c r="G113" i="43"/>
  <c r="G105"/>
  <c r="G102"/>
  <c r="G101"/>
  <c r="G100"/>
  <c r="G96"/>
  <c r="G93"/>
  <c r="G90"/>
  <c r="G87"/>
  <c r="G77"/>
  <c r="G76"/>
  <c r="G60"/>
  <c r="G57"/>
  <c r="G54"/>
  <c r="G51"/>
  <c r="G48"/>
  <c r="G46"/>
  <c r="G42"/>
  <c r="G40"/>
  <c r="G39" s="1"/>
  <c r="G33"/>
  <c r="G32"/>
  <c r="D32"/>
  <c r="G31"/>
  <c r="D31"/>
  <c r="G27"/>
  <c r="G24"/>
  <c r="G21"/>
  <c r="G18"/>
  <c r="G15"/>
  <c r="G12"/>
  <c r="D10"/>
  <c r="D7" s="1"/>
  <c r="G162" i="42"/>
  <c r="G237"/>
  <c r="G186" s="1"/>
  <c r="G183" s="1"/>
  <c r="G238" s="1"/>
  <c r="I238" s="1"/>
  <c r="G174"/>
  <c r="G171"/>
  <c r="G169"/>
  <c r="G165"/>
  <c r="G159"/>
  <c r="G156"/>
  <c r="G145"/>
  <c r="G93"/>
  <c r="G90"/>
  <c r="G87"/>
  <c r="G84"/>
  <c r="G81"/>
  <c r="G79"/>
  <c r="G75"/>
  <c r="G73"/>
  <c r="G30"/>
  <c r="K30" s="1"/>
  <c r="G36" i="45" l="1"/>
  <c r="G32"/>
  <c r="G28"/>
  <c r="G24"/>
  <c r="G20"/>
  <c r="G8" i="43"/>
  <c r="G112" s="1"/>
  <c r="I112" s="1"/>
  <c r="G112" i="44"/>
  <c r="I112" s="1"/>
  <c r="K18" i="1"/>
  <c r="G72" i="42"/>
  <c r="G70"/>
  <c r="D7" i="44"/>
  <c r="G7" i="42"/>
  <c r="G144"/>
  <c r="G14" i="46"/>
  <c r="G9" s="1"/>
  <c r="D8" i="43"/>
  <c r="G12" i="46"/>
  <c r="G7" s="1"/>
  <c r="H12" i="1" s="1"/>
  <c r="H7" s="1"/>
  <c r="I25" i="10"/>
  <c r="I9" s="1"/>
  <c r="I26"/>
  <c r="G99" i="43"/>
  <c r="I31" i="10"/>
  <c r="G78" i="42"/>
  <c r="G45" i="43"/>
  <c r="I24" i="10"/>
  <c r="I8" s="1"/>
  <c r="I27"/>
  <c r="G30" i="43"/>
  <c r="G7"/>
  <c r="G111" i="44"/>
  <c r="G37" i="43"/>
  <c r="G75"/>
  <c r="G111"/>
  <c r="G38"/>
  <c r="I19" i="45"/>
  <c r="I21"/>
  <c r="G16" i="46"/>
  <c r="G66"/>
  <c r="I46" i="10" s="1"/>
  <c r="G13" i="46"/>
  <c r="G8" s="1"/>
  <c r="H13" i="1" s="1"/>
  <c r="G15" i="46"/>
  <c r="G10" s="1"/>
  <c r="G31"/>
  <c r="G36"/>
  <c r="I44" i="45"/>
  <c r="G168" i="42"/>
  <c r="G235" s="1"/>
  <c r="J53" i="25"/>
  <c r="G35" i="45" l="1"/>
  <c r="G37" s="1"/>
  <c r="G31"/>
  <c r="G33" s="1"/>
  <c r="G27"/>
  <c r="G29" s="1"/>
  <c r="G23"/>
  <c r="G25" s="1"/>
  <c r="G19"/>
  <c r="G21" s="1"/>
  <c r="I10" i="10"/>
  <c r="G110" i="43"/>
  <c r="J18" i="1" s="1"/>
  <c r="D18" s="1"/>
  <c r="G6" i="43"/>
  <c r="G233" i="42"/>
  <c r="I17" i="1" s="1"/>
  <c r="G69" i="42"/>
  <c r="I23" i="10"/>
  <c r="I43"/>
  <c r="E43" s="1"/>
  <c r="E46"/>
  <c r="H14" i="1"/>
  <c r="G36" i="43"/>
  <c r="G109"/>
  <c r="J17" i="1" s="1"/>
  <c r="I43" i="45"/>
  <c r="I45" s="1"/>
  <c r="G11" i="46"/>
  <c r="G6" s="1"/>
  <c r="K17" i="1"/>
  <c r="I16" i="45"/>
  <c r="K8" i="1" l="1"/>
  <c r="D17"/>
  <c r="G108" i="43"/>
  <c r="G115" s="1"/>
  <c r="I15" i="45"/>
  <c r="E10" i="1" l="1"/>
  <c r="D38" i="25"/>
  <c r="D8" l="1"/>
  <c r="J13" i="1"/>
  <c r="J8" s="1"/>
  <c r="J14"/>
  <c r="J9" s="1"/>
  <c r="K17" i="25" l="1"/>
  <c r="G122"/>
  <c r="K27" l="1"/>
  <c r="K24"/>
  <c r="K11" l="1"/>
  <c r="J38"/>
  <c r="K14"/>
  <c r="K15" i="1"/>
  <c r="K15" i="25" l="1"/>
  <c r="K12"/>
  <c r="K21"/>
  <c r="K18"/>
  <c r="G121" l="1"/>
  <c r="I121" s="1"/>
  <c r="J121" s="1"/>
  <c r="H18" i="1" l="1"/>
  <c r="H9" s="1"/>
  <c r="G384" i="41" l="1"/>
  <c r="G385"/>
  <c r="G386"/>
  <c r="G29" i="36" l="1"/>
  <c r="H34" i="10" s="1"/>
  <c r="H31" s="1"/>
  <c r="D10" i="25"/>
  <c r="D37"/>
  <c r="D7" l="1"/>
  <c r="G38" i="36"/>
  <c r="G145" i="41" l="1"/>
  <c r="G220"/>
  <c r="G219"/>
  <c r="G245" l="1"/>
  <c r="G375"/>
  <c r="K265"/>
  <c r="K263"/>
  <c r="G146"/>
  <c r="K251"/>
  <c r="K262" l="1"/>
  <c r="L246"/>
  <c r="G242" l="1"/>
  <c r="D12" l="1"/>
  <c r="N264" l="1"/>
  <c r="N257"/>
  <c r="G199"/>
  <c r="N256" l="1"/>
  <c r="G112"/>
  <c r="G141"/>
  <c r="G136"/>
  <c r="G137" s="1"/>
  <c r="G132"/>
  <c r="G133" s="1"/>
  <c r="G128"/>
  <c r="G129" s="1"/>
  <c r="G124"/>
  <c r="G120"/>
  <c r="G125" l="1"/>
  <c r="G121"/>
  <c r="G142"/>
  <c r="G367" l="1"/>
  <c r="L321"/>
  <c r="L317"/>
  <c r="K259" l="1"/>
  <c r="K261" s="1"/>
  <c r="K246"/>
  <c r="K248"/>
  <c r="G257"/>
  <c r="G253"/>
  <c r="K253" s="1"/>
  <c r="G249"/>
  <c r="L109" l="1"/>
  <c r="M109" s="1"/>
  <c r="L103"/>
  <c r="L105" s="1"/>
  <c r="L99"/>
  <c r="L101" s="1"/>
  <c r="L95"/>
  <c r="L97" s="1"/>
  <c r="L91"/>
  <c r="L93" s="1"/>
  <c r="L87"/>
  <c r="L89" s="1"/>
  <c r="M107"/>
  <c r="N109" s="1"/>
  <c r="O86"/>
  <c r="N86"/>
  <c r="G87"/>
  <c r="G109"/>
  <c r="G103"/>
  <c r="G99"/>
  <c r="G101" s="1"/>
  <c r="G95"/>
  <c r="G91"/>
  <c r="G93" s="1"/>
  <c r="G363"/>
  <c r="I383" s="1"/>
  <c r="G358"/>
  <c r="G354"/>
  <c r="G350"/>
  <c r="G349"/>
  <c r="G348"/>
  <c r="G342"/>
  <c r="G339"/>
  <c r="G341" s="1"/>
  <c r="L337"/>
  <c r="G337"/>
  <c r="L331"/>
  <c r="L333" s="1"/>
  <c r="G331"/>
  <c r="G333" s="1"/>
  <c r="L327"/>
  <c r="L329" s="1"/>
  <c r="G327"/>
  <c r="G329" s="1"/>
  <c r="L323"/>
  <c r="L325" s="1"/>
  <c r="G323"/>
  <c r="G325" s="1"/>
  <c r="G321"/>
  <c r="G317"/>
  <c r="L313"/>
  <c r="G313"/>
  <c r="L307"/>
  <c r="L309" s="1"/>
  <c r="G307"/>
  <c r="G309" s="1"/>
  <c r="L303"/>
  <c r="L305" s="1"/>
  <c r="G303"/>
  <c r="G305" s="1"/>
  <c r="L299"/>
  <c r="L301" s="1"/>
  <c r="G299"/>
  <c r="G301" s="1"/>
  <c r="L295"/>
  <c r="L297" s="1"/>
  <c r="G295"/>
  <c r="G292"/>
  <c r="G379" s="1"/>
  <c r="G286"/>
  <c r="G282"/>
  <c r="G278"/>
  <c r="G274"/>
  <c r="G270"/>
  <c r="G238"/>
  <c r="G234"/>
  <c r="G233"/>
  <c r="L222" s="1"/>
  <c r="G226"/>
  <c r="G222"/>
  <c r="D218"/>
  <c r="G214"/>
  <c r="G213"/>
  <c r="G209" s="1"/>
  <c r="G212"/>
  <c r="G208" s="1"/>
  <c r="G211"/>
  <c r="G207" s="1"/>
  <c r="G210"/>
  <c r="G206" s="1"/>
  <c r="G19" i="1"/>
  <c r="L203" i="41"/>
  <c r="L205" s="1"/>
  <c r="G202"/>
  <c r="L199"/>
  <c r="L201" s="1"/>
  <c r="G201"/>
  <c r="L195"/>
  <c r="L197" s="1"/>
  <c r="G195"/>
  <c r="G197" s="1"/>
  <c r="M192"/>
  <c r="L191"/>
  <c r="L193" s="1"/>
  <c r="G191"/>
  <c r="G193" s="1"/>
  <c r="M190"/>
  <c r="K187"/>
  <c r="K189" s="1"/>
  <c r="G187"/>
  <c r="M187" s="1"/>
  <c r="L186"/>
  <c r="K185"/>
  <c r="K183" s="1"/>
  <c r="M184"/>
  <c r="L183"/>
  <c r="L185" s="1"/>
  <c r="G183"/>
  <c r="G185" s="1"/>
  <c r="M182"/>
  <c r="L179"/>
  <c r="L181" s="1"/>
  <c r="G179"/>
  <c r="G181" s="1"/>
  <c r="M176"/>
  <c r="L175"/>
  <c r="L177" s="1"/>
  <c r="K175"/>
  <c r="K177" s="1"/>
  <c r="G175"/>
  <c r="G177" s="1"/>
  <c r="P174"/>
  <c r="M174"/>
  <c r="L171"/>
  <c r="L173" s="1"/>
  <c r="G171"/>
  <c r="G173" s="1"/>
  <c r="M168"/>
  <c r="L167"/>
  <c r="L169" s="1"/>
  <c r="G167"/>
  <c r="G169" s="1"/>
  <c r="P166"/>
  <c r="M166"/>
  <c r="L163"/>
  <c r="L165" s="1"/>
  <c r="G163"/>
  <c r="G165" s="1"/>
  <c r="L159"/>
  <c r="L161" s="1"/>
  <c r="G159"/>
  <c r="G161" s="1"/>
  <c r="L155"/>
  <c r="L157" s="1"/>
  <c r="G155"/>
  <c r="G157" s="1"/>
  <c r="L152"/>
  <c r="G152"/>
  <c r="D152"/>
  <c r="D8" s="1"/>
  <c r="K150"/>
  <c r="D150"/>
  <c r="G116"/>
  <c r="L115"/>
  <c r="L116" s="1"/>
  <c r="G113"/>
  <c r="L111"/>
  <c r="L112" s="1"/>
  <c r="N107"/>
  <c r="M104"/>
  <c r="G105"/>
  <c r="M102"/>
  <c r="K102"/>
  <c r="M100"/>
  <c r="M98"/>
  <c r="K98"/>
  <c r="M96"/>
  <c r="G97"/>
  <c r="M94"/>
  <c r="K94"/>
  <c r="M92"/>
  <c r="M90"/>
  <c r="K90"/>
  <c r="O88"/>
  <c r="N88"/>
  <c r="M88"/>
  <c r="K86"/>
  <c r="M86" s="1"/>
  <c r="M84"/>
  <c r="L83"/>
  <c r="L85" s="1"/>
  <c r="K83"/>
  <c r="K85" s="1"/>
  <c r="G83"/>
  <c r="G85" s="1"/>
  <c r="M82"/>
  <c r="M80"/>
  <c r="L79"/>
  <c r="L81" s="1"/>
  <c r="K79"/>
  <c r="G79"/>
  <c r="G81" s="1"/>
  <c r="M78"/>
  <c r="M76"/>
  <c r="L75"/>
  <c r="L77" s="1"/>
  <c r="K75"/>
  <c r="G75"/>
  <c r="G77" s="1"/>
  <c r="M74"/>
  <c r="M72"/>
  <c r="L71"/>
  <c r="L73" s="1"/>
  <c r="K71"/>
  <c r="G71"/>
  <c r="G73" s="1"/>
  <c r="M70"/>
  <c r="M68"/>
  <c r="L67"/>
  <c r="L69" s="1"/>
  <c r="K67"/>
  <c r="G67"/>
  <c r="G69" s="1"/>
  <c r="M66"/>
  <c r="M64"/>
  <c r="L63"/>
  <c r="L65" s="1"/>
  <c r="K63"/>
  <c r="G63"/>
  <c r="G65" s="1"/>
  <c r="M62"/>
  <c r="M60"/>
  <c r="L59"/>
  <c r="L61" s="1"/>
  <c r="K59"/>
  <c r="G59"/>
  <c r="G61" s="1"/>
  <c r="M58"/>
  <c r="M56"/>
  <c r="L55"/>
  <c r="L57" s="1"/>
  <c r="K55"/>
  <c r="G55"/>
  <c r="G57" s="1"/>
  <c r="M54"/>
  <c r="M52"/>
  <c r="L51"/>
  <c r="L53" s="1"/>
  <c r="K51"/>
  <c r="G51"/>
  <c r="G53" s="1"/>
  <c r="M50"/>
  <c r="G49"/>
  <c r="M49" s="1"/>
  <c r="M48"/>
  <c r="N47"/>
  <c r="M47"/>
  <c r="N49" s="1"/>
  <c r="L47"/>
  <c r="L49" s="1"/>
  <c r="K47"/>
  <c r="K49" s="1"/>
  <c r="M44"/>
  <c r="L43"/>
  <c r="K43"/>
  <c r="G43"/>
  <c r="G45" s="1"/>
  <c r="M42"/>
  <c r="M40"/>
  <c r="L39"/>
  <c r="L41" s="1"/>
  <c r="K39"/>
  <c r="G39"/>
  <c r="G41" s="1"/>
  <c r="M38"/>
  <c r="M36"/>
  <c r="L35"/>
  <c r="L37" s="1"/>
  <c r="K35"/>
  <c r="G35"/>
  <c r="G37" s="1"/>
  <c r="M34"/>
  <c r="M32"/>
  <c r="L31"/>
  <c r="L33" s="1"/>
  <c r="K31"/>
  <c r="G31"/>
  <c r="G33" s="1"/>
  <c r="M30"/>
  <c r="N29"/>
  <c r="P29" s="1"/>
  <c r="M29"/>
  <c r="G29"/>
  <c r="M28"/>
  <c r="O27"/>
  <c r="M27"/>
  <c r="M26"/>
  <c r="M24"/>
  <c r="L23"/>
  <c r="L25" s="1"/>
  <c r="K23"/>
  <c r="G23"/>
  <c r="G25" s="1"/>
  <c r="M22"/>
  <c r="O21"/>
  <c r="N21"/>
  <c r="G21"/>
  <c r="M20"/>
  <c r="O19"/>
  <c r="K19"/>
  <c r="K21" s="1"/>
  <c r="M21" s="1"/>
  <c r="M18"/>
  <c r="M16"/>
  <c r="L15"/>
  <c r="L17" s="1"/>
  <c r="K15"/>
  <c r="G15"/>
  <c r="M14"/>
  <c r="L12"/>
  <c r="K12"/>
  <c r="L10"/>
  <c r="D10"/>
  <c r="K6"/>
  <c r="G10" i="1" l="1"/>
  <c r="G383" i="41"/>
  <c r="D6"/>
  <c r="L8"/>
  <c r="M43"/>
  <c r="M55"/>
  <c r="M71"/>
  <c r="M185"/>
  <c r="M193"/>
  <c r="G346"/>
  <c r="P86"/>
  <c r="G230"/>
  <c r="K222" s="1"/>
  <c r="G17"/>
  <c r="G11"/>
  <c r="K115"/>
  <c r="K116" s="1"/>
  <c r="G12"/>
  <c r="G8" s="1"/>
  <c r="K10"/>
  <c r="M15"/>
  <c r="M35"/>
  <c r="M177"/>
  <c r="G117"/>
  <c r="N97"/>
  <c r="G291"/>
  <c r="L291"/>
  <c r="P21"/>
  <c r="P13" s="1"/>
  <c r="M23"/>
  <c r="M31"/>
  <c r="M39"/>
  <c r="M63"/>
  <c r="M79"/>
  <c r="M12"/>
  <c r="M19"/>
  <c r="K25"/>
  <c r="M25" s="1"/>
  <c r="K33"/>
  <c r="M33" s="1"/>
  <c r="K37"/>
  <c r="M37" s="1"/>
  <c r="K41"/>
  <c r="M41" s="1"/>
  <c r="N43"/>
  <c r="K45"/>
  <c r="M51"/>
  <c r="M59"/>
  <c r="M67"/>
  <c r="M75"/>
  <c r="M85"/>
  <c r="G151"/>
  <c r="N152"/>
  <c r="M175"/>
  <c r="M183"/>
  <c r="G268"/>
  <c r="G89"/>
  <c r="N89" s="1"/>
  <c r="P88"/>
  <c r="M93"/>
  <c r="M101"/>
  <c r="L11"/>
  <c r="O109"/>
  <c r="N87"/>
  <c r="O49"/>
  <c r="N46" s="1"/>
  <c r="M46"/>
  <c r="M10" s="1"/>
  <c r="M89"/>
  <c r="O89"/>
  <c r="M97"/>
  <c r="M105"/>
  <c r="M169"/>
  <c r="K11"/>
  <c r="K17"/>
  <c r="L45"/>
  <c r="K53"/>
  <c r="M53" s="1"/>
  <c r="K57"/>
  <c r="M57" s="1"/>
  <c r="K61"/>
  <c r="M61" s="1"/>
  <c r="K65"/>
  <c r="M65" s="1"/>
  <c r="K69"/>
  <c r="M69" s="1"/>
  <c r="K73"/>
  <c r="M73" s="1"/>
  <c r="K77"/>
  <c r="M77" s="1"/>
  <c r="K81"/>
  <c r="M81" s="1"/>
  <c r="O85"/>
  <c r="O84" s="1"/>
  <c r="M87"/>
  <c r="O87"/>
  <c r="M91"/>
  <c r="M99"/>
  <c r="M167"/>
  <c r="L187"/>
  <c r="G189"/>
  <c r="G153" s="1"/>
  <c r="M191"/>
  <c r="G297"/>
  <c r="G293" s="1"/>
  <c r="G269" s="1"/>
  <c r="G378"/>
  <c r="M83"/>
  <c r="M95"/>
  <c r="M103"/>
  <c r="G267"/>
  <c r="M45" l="1"/>
  <c r="M8"/>
  <c r="G373"/>
  <c r="G17" i="1" s="1"/>
  <c r="G7" i="41"/>
  <c r="G13"/>
  <c r="J8"/>
  <c r="G10"/>
  <c r="R43"/>
  <c r="N106"/>
  <c r="K4"/>
  <c r="R12"/>
  <c r="P87"/>
  <c r="S8"/>
  <c r="M11"/>
  <c r="G150"/>
  <c r="G380"/>
  <c r="M189"/>
  <c r="L151"/>
  <c r="M17"/>
  <c r="M13" s="1"/>
  <c r="K13"/>
  <c r="G290"/>
  <c r="G377" s="1"/>
  <c r="L13"/>
  <c r="P89"/>
  <c r="L189"/>
  <c r="R9" l="1"/>
  <c r="G9"/>
  <c r="G266"/>
  <c r="L7"/>
  <c r="M7" s="1"/>
  <c r="N151"/>
  <c r="N189"/>
  <c r="M186" s="1"/>
  <c r="L153"/>
  <c r="N153" s="1"/>
  <c r="K5"/>
  <c r="R13" l="1"/>
  <c r="J9"/>
  <c r="G6"/>
  <c r="L1" s="1"/>
  <c r="L9"/>
  <c r="M9" s="1"/>
  <c r="L150"/>
  <c r="L6" l="1"/>
  <c r="M6" s="1"/>
  <c r="N150"/>
  <c r="G79" i="36" l="1"/>
  <c r="G59" s="1"/>
  <c r="G130"/>
  <c r="G126"/>
  <c r="F11" i="4"/>
  <c r="K33" i="10" l="1"/>
  <c r="K25" s="1"/>
  <c r="K9" s="1"/>
  <c r="K30"/>
  <c r="K27" l="1"/>
  <c r="K34" l="1"/>
  <c r="K26" s="1"/>
  <c r="K10" s="1"/>
  <c r="G9" i="4"/>
  <c r="F14" l="1"/>
  <c r="G61" i="36" l="1"/>
  <c r="G122"/>
  <c r="G60"/>
  <c r="G56" s="1"/>
  <c r="H41" i="10" s="1"/>
  <c r="E41" s="1"/>
  <c r="G118" i="36"/>
  <c r="G114"/>
  <c r="G110"/>
  <c r="G106"/>
  <c r="G66"/>
  <c r="G102"/>
  <c r="G98"/>
  <c r="G94"/>
  <c r="G90"/>
  <c r="G86"/>
  <c r="G82"/>
  <c r="G70"/>
  <c r="D38"/>
  <c r="G25"/>
  <c r="I17"/>
  <c r="D14"/>
  <c r="I10"/>
  <c r="J9"/>
  <c r="K9" s="1"/>
  <c r="K8"/>
  <c r="K7"/>
  <c r="I6"/>
  <c r="I5" l="1"/>
  <c r="G22"/>
  <c r="G78"/>
  <c r="K17"/>
  <c r="J17" s="1"/>
  <c r="K6"/>
  <c r="J11"/>
  <c r="J12"/>
  <c r="J13"/>
  <c r="G74"/>
  <c r="G57" l="1"/>
  <c r="H42" i="10" s="1"/>
  <c r="G62" i="36"/>
  <c r="G19"/>
  <c r="G43"/>
  <c r="G55"/>
  <c r="H40" i="10" s="1"/>
  <c r="H39" s="1"/>
  <c r="G58" i="36"/>
  <c r="G54" s="1"/>
  <c r="M9" s="1"/>
  <c r="G20"/>
  <c r="G16" s="1"/>
  <c r="H29" i="10" s="1"/>
  <c r="G44" i="36"/>
  <c r="G45" s="1"/>
  <c r="G49" s="1"/>
  <c r="G12" l="1"/>
  <c r="G8" s="1"/>
  <c r="G48"/>
  <c r="G21"/>
  <c r="G17" s="1"/>
  <c r="H30" i="10" s="1"/>
  <c r="G15" i="36"/>
  <c r="H28" i="10" s="1"/>
  <c r="G47" i="36"/>
  <c r="G46" s="1"/>
  <c r="H27" i="10" l="1"/>
  <c r="K16" i="36"/>
  <c r="G13"/>
  <c r="G9" s="1"/>
  <c r="G14" i="1" s="1"/>
  <c r="G11" i="36"/>
  <c r="G14"/>
  <c r="M16" s="1"/>
  <c r="K15"/>
  <c r="K14" l="1"/>
  <c r="M15" s="1"/>
  <c r="M17" s="1"/>
  <c r="G10"/>
  <c r="G6" s="1"/>
  <c r="G7"/>
  <c r="G12" i="1" s="1"/>
  <c r="I10" i="30" l="1"/>
  <c r="I21" s="1"/>
  <c r="I19" l="1"/>
  <c r="I20"/>
  <c r="G35" l="1"/>
  <c r="G37" s="1"/>
  <c r="G31"/>
  <c r="G27"/>
  <c r="G29" s="1"/>
  <c r="G23"/>
  <c r="G19"/>
  <c r="G21" s="1"/>
  <c r="G36"/>
  <c r="G32"/>
  <c r="G28"/>
  <c r="G24"/>
  <c r="G20"/>
  <c r="I44"/>
  <c r="I43"/>
  <c r="G25" l="1"/>
  <c r="G33"/>
  <c r="J15" i="1"/>
  <c r="D15" s="1"/>
  <c r="I45" i="30"/>
  <c r="I16"/>
  <c r="I15"/>
  <c r="F9" i="4" l="1"/>
  <c r="G84" i="18" l="1"/>
  <c r="D65" l="1"/>
  <c r="D11"/>
  <c r="G40" i="10" l="1"/>
  <c r="E40" l="1"/>
  <c r="D90" i="18"/>
  <c r="G108"/>
  <c r="G152" l="1"/>
  <c r="G48" i="17" l="1"/>
  <c r="G47"/>
  <c r="G83" i="18"/>
  <c r="G81" s="1"/>
  <c r="G66" i="17"/>
  <c r="G70"/>
  <c r="J46"/>
  <c r="K47" s="1"/>
  <c r="G82"/>
  <c r="G78"/>
  <c r="G66" i="18"/>
  <c r="K49" i="17" l="1"/>
  <c r="M47"/>
  <c r="L47"/>
  <c r="K48"/>
  <c r="G140" i="18"/>
  <c r="G139"/>
  <c r="G144"/>
  <c r="G107"/>
  <c r="G101"/>
  <c r="M49" i="17" l="1"/>
  <c r="L49"/>
  <c r="M48"/>
  <c r="L48"/>
  <c r="G60" i="18"/>
  <c r="G46" i="17"/>
  <c r="I48"/>
  <c r="I47"/>
  <c r="I49" l="1"/>
  <c r="G54" i="18"/>
  <c r="I11" i="24" l="1"/>
  <c r="I25" s="1"/>
  <c r="I8" i="1" l="1"/>
  <c r="I22" i="24"/>
  <c r="I23"/>
  <c r="G74" i="17"/>
  <c r="N70" s="1"/>
  <c r="G75" i="18"/>
  <c r="G72"/>
  <c r="G57"/>
  <c r="G164"/>
  <c r="G163"/>
  <c r="G165"/>
  <c r="G113"/>
  <c r="G112"/>
  <c r="G135"/>
  <c r="G87"/>
  <c r="G48"/>
  <c r="I49" i="24" l="1"/>
  <c r="I48"/>
  <c r="G162" i="18"/>
  <c r="D64"/>
  <c r="D10"/>
  <c r="G69"/>
  <c r="G51"/>
  <c r="G45"/>
  <c r="G42"/>
  <c r="G39"/>
  <c r="G36"/>
  <c r="G33"/>
  <c r="D92"/>
  <c r="G50" i="17"/>
  <c r="G149" i="18"/>
  <c r="G148"/>
  <c r="I50" i="24" l="1"/>
  <c r="I18"/>
  <c r="J37" i="18"/>
  <c r="D8"/>
  <c r="E18" i="4" s="1"/>
  <c r="D7" i="18"/>
  <c r="G30"/>
  <c r="G29"/>
  <c r="G28" s="1"/>
  <c r="G24"/>
  <c r="G21"/>
  <c r="G20"/>
  <c r="G65"/>
  <c r="G96"/>
  <c r="G19" l="1"/>
  <c r="G64" i="17"/>
  <c r="G63" l="1"/>
  <c r="G87" s="1"/>
  <c r="G105" i="18" l="1"/>
  <c r="G102"/>
  <c r="G132" l="1"/>
  <c r="D42" i="13"/>
  <c r="D14"/>
  <c r="H24" i="10" l="1"/>
  <c r="H8" s="1"/>
  <c r="F31"/>
  <c r="F27"/>
  <c r="F26"/>
  <c r="F25"/>
  <c r="F24"/>
  <c r="M34" i="19"/>
  <c r="G52" i="17"/>
  <c r="G51"/>
  <c r="G61"/>
  <c r="F23" i="10" l="1"/>
  <c r="G126" i="18"/>
  <c r="G123"/>
  <c r="G42" i="17"/>
  <c r="G155" i="18" l="1"/>
  <c r="G154"/>
  <c r="G159"/>
  <c r="G57" i="17"/>
  <c r="G53" s="1"/>
  <c r="D14" l="1"/>
  <c r="M31" i="19"/>
  <c r="G15" i="18" l="1"/>
  <c r="G95"/>
  <c r="G92" s="1"/>
  <c r="I10" i="17"/>
  <c r="I21" s="1"/>
  <c r="G36" i="10"/>
  <c r="G37"/>
  <c r="E37" s="1"/>
  <c r="G38"/>
  <c r="G120" i="18"/>
  <c r="G129"/>
  <c r="G156"/>
  <c r="G117"/>
  <c r="G141"/>
  <c r="E36" i="10" l="1"/>
  <c r="G35"/>
  <c r="G94" i="18"/>
  <c r="G91" s="1"/>
  <c r="G138"/>
  <c r="I20" i="17"/>
  <c r="I44" s="1"/>
  <c r="I19"/>
  <c r="G150" i="18"/>
  <c r="G147"/>
  <c r="G80"/>
  <c r="I43" i="17" l="1"/>
  <c r="I45" s="1"/>
  <c r="G33"/>
  <c r="G25"/>
  <c r="G153" i="18"/>
  <c r="G21" i="17" l="1"/>
  <c r="G29"/>
  <c r="G37"/>
  <c r="G79" i="18"/>
  <c r="G78" s="1"/>
  <c r="G16" i="17"/>
  <c r="G29" i="10" s="1"/>
  <c r="E29" s="1"/>
  <c r="G15" i="17"/>
  <c r="G28" i="10" s="1"/>
  <c r="D10" i="3"/>
  <c r="G30" i="13"/>
  <c r="G26"/>
  <c r="G18"/>
  <c r="G17" i="17" l="1"/>
  <c r="G30" i="10" s="1"/>
  <c r="E30" s="1"/>
  <c r="G39" i="17"/>
  <c r="G32" i="10" s="1"/>
  <c r="G36" i="12"/>
  <c r="G35"/>
  <c r="G114" i="18"/>
  <c r="G27" i="10" l="1"/>
  <c r="G24"/>
  <c r="G8" s="1"/>
  <c r="G40" i="17"/>
  <c r="G33" i="10" s="1"/>
  <c r="E33" s="1"/>
  <c r="G41" i="17"/>
  <c r="G11"/>
  <c r="N45" i="3"/>
  <c r="L46"/>
  <c r="G55" i="13"/>
  <c r="G56"/>
  <c r="G57"/>
  <c r="G12" i="17" l="1"/>
  <c r="G8" s="1"/>
  <c r="G25" i="10"/>
  <c r="G9" s="1"/>
  <c r="G7" i="17"/>
  <c r="G13"/>
  <c r="G34" i="10"/>
  <c r="E34" s="1"/>
  <c r="G38" i="17"/>
  <c r="G62" i="13"/>
  <c r="G34" i="12"/>
  <c r="G37"/>
  <c r="G73"/>
  <c r="G61" s="1"/>
  <c r="G10" i="17" l="1"/>
  <c r="G26" i="10"/>
  <c r="G31"/>
  <c r="D16" i="13"/>
  <c r="G23" i="10" l="1"/>
  <c r="D10" i="4"/>
  <c r="D9" l="1"/>
  <c r="G16" i="13"/>
  <c r="G15"/>
  <c r="G68" s="1"/>
  <c r="J36"/>
  <c r="J33" s="1"/>
  <c r="J41"/>
  <c r="J38" s="1"/>
  <c r="I41"/>
  <c r="I40"/>
  <c r="H100" l="1"/>
  <c r="G100"/>
  <c r="H99"/>
  <c r="G99"/>
  <c r="H98"/>
  <c r="G98"/>
  <c r="H97"/>
  <c r="G97"/>
  <c r="F100"/>
  <c r="F99"/>
  <c r="F98"/>
  <c r="F97"/>
  <c r="I86"/>
  <c r="I87"/>
  <c r="I88"/>
  <c r="I89"/>
  <c r="I91"/>
  <c r="I92"/>
  <c r="I93"/>
  <c r="I94"/>
  <c r="J92" l="1"/>
  <c r="J94"/>
  <c r="J93"/>
  <c r="J91"/>
  <c r="G74"/>
  <c r="G73"/>
  <c r="L36" i="19"/>
  <c r="K36"/>
  <c r="J36"/>
  <c r="I28"/>
  <c r="I27"/>
  <c r="M27" s="1"/>
  <c r="I26"/>
  <c r="I24"/>
  <c r="M24" s="1"/>
  <c r="I23"/>
  <c r="I22"/>
  <c r="M22" s="1"/>
  <c r="I21"/>
  <c r="I20"/>
  <c r="I17"/>
  <c r="M17" s="1"/>
  <c r="I15"/>
  <c r="M15" s="1"/>
  <c r="I13"/>
  <c r="M13" s="1"/>
  <c r="I12"/>
  <c r="I10"/>
  <c r="M10" s="1"/>
  <c r="I9"/>
  <c r="I8"/>
  <c r="J28" i="3"/>
  <c r="J8"/>
  <c r="J9"/>
  <c r="J10"/>
  <c r="J12"/>
  <c r="J13"/>
  <c r="J15"/>
  <c r="J17"/>
  <c r="J20"/>
  <c r="J21"/>
  <c r="J22"/>
  <c r="J23"/>
  <c r="J24"/>
  <c r="J26"/>
  <c r="J27"/>
  <c r="N43"/>
  <c r="L50"/>
  <c r="I36" i="19" l="1"/>
  <c r="M28"/>
  <c r="M32"/>
  <c r="G14" i="18"/>
  <c r="G11" l="1"/>
  <c r="G8" s="1"/>
  <c r="G13"/>
  <c r="G10" s="1"/>
  <c r="G90"/>
  <c r="M36" i="19"/>
  <c r="G170" i="18" l="1"/>
  <c r="F18" i="1" s="1"/>
  <c r="J8" i="18"/>
  <c r="G9" l="1"/>
  <c r="G44" i="13" l="1"/>
  <c r="G43"/>
  <c r="G50"/>
  <c r="G46"/>
  <c r="D61" i="12"/>
  <c r="D100"/>
  <c r="G45" i="13" l="1"/>
  <c r="I16" i="17"/>
  <c r="I15"/>
  <c r="G21" i="12" l="1"/>
  <c r="G20" s="1"/>
  <c r="G14" i="17" l="1"/>
  <c r="G102" i="12"/>
  <c r="D12" l="1"/>
  <c r="D10"/>
  <c r="G33"/>
  <c r="G32" s="1"/>
  <c r="G30"/>
  <c r="G29" l="1"/>
  <c r="G115"/>
  <c r="G112"/>
  <c r="G109"/>
  <c r="M50" i="3"/>
  <c r="J50"/>
  <c r="N41"/>
  <c r="N39"/>
  <c r="N37"/>
  <c r="N35"/>
  <c r="N33"/>
  <c r="K31"/>
  <c r="N27"/>
  <c r="N24"/>
  <c r="N22"/>
  <c r="N17"/>
  <c r="N15"/>
  <c r="N13"/>
  <c r="N10"/>
  <c r="G25" i="12"/>
  <c r="K46" i="3" l="1"/>
  <c r="K50" s="1"/>
  <c r="N31"/>
  <c r="N46" s="1"/>
  <c r="N28"/>
  <c r="G78" i="12"/>
  <c r="G77"/>
  <c r="G97"/>
  <c r="G24"/>
  <c r="G23" s="1"/>
  <c r="G106"/>
  <c r="G103"/>
  <c r="G101"/>
  <c r="G94"/>
  <c r="G91"/>
  <c r="G88"/>
  <c r="G85"/>
  <c r="G82"/>
  <c r="G79"/>
  <c r="G66"/>
  <c r="G58"/>
  <c r="G57"/>
  <c r="G56"/>
  <c r="G54"/>
  <c r="G53" s="1"/>
  <c r="G51"/>
  <c r="G50" s="1"/>
  <c r="G48"/>
  <c r="G47" s="1"/>
  <c r="G45"/>
  <c r="G44" s="1"/>
  <c r="D42"/>
  <c r="D40"/>
  <c r="G18"/>
  <c r="G17" s="1"/>
  <c r="G15"/>
  <c r="N50" i="3" l="1"/>
  <c r="G12" i="12"/>
  <c r="G65"/>
  <c r="G62" s="1"/>
  <c r="G63"/>
  <c r="G76"/>
  <c r="G100"/>
  <c r="G14"/>
  <c r="G11" s="1"/>
  <c r="D9"/>
  <c r="D7"/>
  <c r="G55"/>
  <c r="G42"/>
  <c r="G41"/>
  <c r="G9" l="1"/>
  <c r="G40"/>
  <c r="G10"/>
  <c r="G8"/>
  <c r="G119" s="1"/>
  <c r="E17" i="1" s="1"/>
  <c r="G120" i="12" l="1"/>
  <c r="E18" i="1" s="1"/>
  <c r="G7" i="12"/>
  <c r="G118" s="1"/>
  <c r="E15" i="1" l="1"/>
  <c r="F12"/>
  <c r="G42" i="13"/>
  <c r="E14" i="4"/>
  <c r="D14"/>
  <c r="F7" i="1" l="1"/>
  <c r="G58" i="13"/>
  <c r="G54" s="1"/>
  <c r="G75"/>
  <c r="G72" s="1"/>
  <c r="G11"/>
  <c r="G7" s="1"/>
  <c r="J16"/>
  <c r="G17"/>
  <c r="J15"/>
  <c r="G12" l="1"/>
  <c r="G8" s="1"/>
  <c r="G69"/>
  <c r="G80" s="1"/>
  <c r="G79"/>
  <c r="E9" i="4"/>
  <c r="F38" i="10"/>
  <c r="F35" l="1"/>
  <c r="E35" s="1"/>
  <c r="E38"/>
  <c r="G13" i="13"/>
  <c r="G9" s="1"/>
  <c r="E14" i="1" s="1"/>
  <c r="E9" s="1"/>
  <c r="G70" i="13"/>
  <c r="G67" s="1"/>
  <c r="G14"/>
  <c r="G10" l="1"/>
  <c r="G6" s="1"/>
  <c r="G81"/>
  <c r="G78"/>
  <c r="F13" i="1" l="1"/>
  <c r="F12" i="10" l="1"/>
  <c r="F8" s="1"/>
  <c r="E12" l="1"/>
  <c r="F14"/>
  <c r="F13"/>
  <c r="F9" l="1"/>
  <c r="E13"/>
  <c r="F10"/>
  <c r="E14"/>
  <c r="F11"/>
  <c r="E11" s="1"/>
  <c r="E12" i="1"/>
  <c r="E7" l="1"/>
  <c r="F7" i="10"/>
  <c r="E13" i="1"/>
  <c r="E8" l="1"/>
  <c r="E11"/>
  <c r="E6" l="1"/>
  <c r="G111" i="18"/>
  <c r="G64" l="1"/>
  <c r="G63" s="1"/>
  <c r="G7" l="1"/>
  <c r="J7" l="1"/>
  <c r="G169"/>
  <c r="G6"/>
  <c r="G168" l="1"/>
  <c r="F17" i="1"/>
  <c r="F15" l="1"/>
  <c r="F8"/>
  <c r="G65" i="17"/>
  <c r="G9" s="1"/>
  <c r="F14" i="1" s="1"/>
  <c r="F9" s="1"/>
  <c r="G86" i="17"/>
  <c r="G42" i="10"/>
  <c r="G10" s="1"/>
  <c r="F6" i="1" l="1"/>
  <c r="E42" i="10"/>
  <c r="G39"/>
  <c r="E39" s="1"/>
  <c r="G62" i="17"/>
  <c r="G6" s="1"/>
  <c r="G7" i="10" l="1"/>
  <c r="F11" i="1"/>
  <c r="H25" i="10" l="1"/>
  <c r="H9" s="1"/>
  <c r="E25" l="1"/>
  <c r="G13" i="1" l="1"/>
  <c r="D13" s="1"/>
  <c r="G8" l="1"/>
  <c r="D8" s="1"/>
  <c r="H26" i="10" l="1"/>
  <c r="H10" s="1"/>
  <c r="E26" l="1"/>
  <c r="H23"/>
  <c r="H7" l="1"/>
  <c r="G11" i="1"/>
  <c r="K247" i="41" l="1"/>
  <c r="G261" l="1"/>
  <c r="L261" l="1"/>
  <c r="G265"/>
  <c r="G221" s="1"/>
  <c r="G372"/>
  <c r="G374" l="1"/>
  <c r="G18" i="1" s="1"/>
  <c r="K249" i="41"/>
  <c r="G218"/>
  <c r="K371" s="1"/>
  <c r="G9" i="1" l="1"/>
  <c r="G371" i="41"/>
  <c r="G16" i="1"/>
  <c r="G7" l="1"/>
  <c r="G15"/>
  <c r="G6" l="1"/>
  <c r="E10" i="10"/>
  <c r="H11" i="1" l="1"/>
  <c r="E9" i="10" l="1"/>
  <c r="I7"/>
  <c r="K10" i="25" l="1"/>
  <c r="H17" i="1"/>
  <c r="K9" i="25"/>
  <c r="H8" i="1" l="1"/>
  <c r="G124" i="25"/>
  <c r="H6" i="1" l="1"/>
  <c r="H15"/>
  <c r="K14" l="1"/>
  <c r="K9" l="1"/>
  <c r="K11"/>
  <c r="K6" l="1"/>
  <c r="G12" i="24" l="1"/>
  <c r="J7"/>
  <c r="J28" i="10"/>
  <c r="J24" s="1"/>
  <c r="I17" i="24"/>
  <c r="J23" i="10" l="1"/>
  <c r="J8"/>
  <c r="J7" s="1"/>
  <c r="K7" i="24"/>
  <c r="L7" s="1"/>
  <c r="O7"/>
  <c r="O12" s="1"/>
  <c r="J6"/>
  <c r="L9" s="1"/>
  <c r="E28" i="10"/>
  <c r="G11" i="24"/>
  <c r="G7"/>
  <c r="J27" i="10"/>
  <c r="E27" s="1"/>
  <c r="I12" i="1" l="1"/>
  <c r="G6" i="24"/>
  <c r="I11" i="1" l="1"/>
  <c r="I7"/>
  <c r="J12" l="1"/>
  <c r="D12" s="1"/>
  <c r="K32" i="10"/>
  <c r="J11" i="1" l="1"/>
  <c r="D11" s="1"/>
  <c r="J7"/>
  <c r="D7" s="1"/>
  <c r="K24" i="10"/>
  <c r="K8" s="1"/>
  <c r="K7" s="1"/>
  <c r="E32"/>
  <c r="K31"/>
  <c r="E31" s="1"/>
  <c r="J6" i="1" l="1"/>
  <c r="E24" i="10"/>
  <c r="K23"/>
  <c r="E23" s="1"/>
  <c r="E8" l="1"/>
  <c r="E7"/>
  <c r="G8" i="42" l="1"/>
  <c r="K20"/>
  <c r="K11" s="1"/>
  <c r="G236" l="1"/>
  <c r="G234"/>
  <c r="G9"/>
  <c r="G33"/>
  <c r="K33" s="1"/>
  <c r="G6" l="1"/>
  <c r="G231" s="1"/>
  <c r="K8"/>
  <c r="K6" s="1"/>
  <c r="K9"/>
  <c r="I18" i="1"/>
  <c r="I236" i="42"/>
  <c r="I9" i="1" l="1"/>
  <c r="D9" s="1"/>
  <c r="I15"/>
  <c r="I6" l="1"/>
  <c r="D6" s="1"/>
</calcChain>
</file>

<file path=xl/sharedStrings.xml><?xml version="1.0" encoding="utf-8"?>
<sst xmlns="http://schemas.openxmlformats.org/spreadsheetml/2006/main" count="6321" uniqueCount="1204">
  <si>
    <t>№ п/п</t>
  </si>
  <si>
    <t>Наименование Программы/Подпрограммы</t>
  </si>
  <si>
    <t>Источники финансирования</t>
  </si>
  <si>
    <t>1.</t>
  </si>
  <si>
    <t>Всего</t>
  </si>
  <si>
    <t>краевой бюджет</t>
  </si>
  <si>
    <t xml:space="preserve">Наименование мероприятия  </t>
  </si>
  <si>
    <t>Ед.изм.</t>
  </si>
  <si>
    <t>Сроки исполнения мероприятий</t>
  </si>
  <si>
    <t>х</t>
  </si>
  <si>
    <t>Краевой бюджет</t>
  </si>
  <si>
    <t>Местный бюджет</t>
  </si>
  <si>
    <t xml:space="preserve"> 1.1.1</t>
  </si>
  <si>
    <t xml:space="preserve"> 1.1.2</t>
  </si>
  <si>
    <t xml:space="preserve"> 1.1.3</t>
  </si>
  <si>
    <t xml:space="preserve"> 1.1.4</t>
  </si>
  <si>
    <t xml:space="preserve"> 1.2.1</t>
  </si>
  <si>
    <t>Натуральные показатели</t>
  </si>
  <si>
    <t>Кол-во</t>
  </si>
  <si>
    <t>Объем/источники финансирования</t>
  </si>
  <si>
    <t>Всего, в т. ч.:</t>
  </si>
  <si>
    <t xml:space="preserve"> 1.2.</t>
  </si>
  <si>
    <t>тыс. рублей</t>
  </si>
  <si>
    <t>Исполнители мероприятий</t>
  </si>
  <si>
    <t>Федеральный бюджет</t>
  </si>
  <si>
    <t xml:space="preserve"> 1.1.</t>
  </si>
  <si>
    <t>федеральный бюджет</t>
  </si>
  <si>
    <t>кв. метр</t>
  </si>
  <si>
    <t>№п/п</t>
  </si>
  <si>
    <t>Наименование работ</t>
  </si>
  <si>
    <t>Ед. изм.</t>
  </si>
  <si>
    <t>Адрес дворовых территорий</t>
  </si>
  <si>
    <t>Итого</t>
  </si>
  <si>
    <t xml:space="preserve"> 1.1</t>
  </si>
  <si>
    <t>Минимальный перечень работ, из него:</t>
  </si>
  <si>
    <t>1.1.1</t>
  </si>
  <si>
    <t>Ремонт дворовых проездов, в том числе:</t>
  </si>
  <si>
    <t xml:space="preserve"> 1.1.1.1</t>
  </si>
  <si>
    <t>м.п.</t>
  </si>
  <si>
    <t>тыс. руб.</t>
  </si>
  <si>
    <t>1.1.2</t>
  </si>
  <si>
    <t>Обеспечение освещения дворовых территорий, в том числе:</t>
  </si>
  <si>
    <t xml:space="preserve"> 1.1.2.1</t>
  </si>
  <si>
    <t>шт.</t>
  </si>
  <si>
    <t>Установка скамеек</t>
  </si>
  <si>
    <t xml:space="preserve"> 1.2</t>
  </si>
  <si>
    <t xml:space="preserve">Дополнительный перечень работ, из него:                                   </t>
  </si>
  <si>
    <t xml:space="preserve"> 1.2.1.1</t>
  </si>
  <si>
    <t>2.</t>
  </si>
  <si>
    <t xml:space="preserve">Устройство асфальтобетонного покрытия из плотной  смеси тип АБВ толщиной 6 см </t>
  </si>
  <si>
    <t xml:space="preserve">Устройство асфальтобетонного покрытия из плотной  смеси тип АБВ толщиной 5 см </t>
  </si>
  <si>
    <t xml:space="preserve">«Благоустройство дворовых территорий», в том числе                                      </t>
  </si>
  <si>
    <t xml:space="preserve"> "Благоустройство территорий общего пользования"</t>
  </si>
  <si>
    <t>«Благоустройство дворовых территорий», в том числе:</t>
  </si>
  <si>
    <t xml:space="preserve">Установка  урн </t>
  </si>
  <si>
    <t>2.1.</t>
  </si>
  <si>
    <t>Ремонт тротуара, в том числе:</t>
  </si>
  <si>
    <t>«Формирование современной городской среды в Елизовском городском поселении"</t>
  </si>
  <si>
    <t>Подпрограмма 1 «Современная городская среда в Елизовском городском поселении"</t>
  </si>
  <si>
    <t xml:space="preserve">№
п/п
</t>
  </si>
  <si>
    <t>Целевой показатель (индикатор)</t>
  </si>
  <si>
    <t xml:space="preserve">Ед.
изм.
</t>
  </si>
  <si>
    <t>Значения показателей</t>
  </si>
  <si>
    <t>Подпрограмма 1 "Современная городская среда в Елизовском городском поселении"</t>
  </si>
  <si>
    <t xml:space="preserve">ед. </t>
  </si>
  <si>
    <t>%</t>
  </si>
  <si>
    <t>ед.</t>
  </si>
  <si>
    <t>кв.м.</t>
  </si>
  <si>
    <t>Количество благоустроенных дворовых территорий</t>
  </si>
  <si>
    <t>Охват населения благоустроенными дворовыми территориями</t>
  </si>
  <si>
    <t xml:space="preserve">Капитальный ремонт и ремонт автомобильных дорог общего пользования, дворовых территорий </t>
  </si>
  <si>
    <t>Общая протяженность восстановленных сетей наружного освещения</t>
  </si>
  <si>
    <t>Устройство, восстановление детских площадок и других придомовых площадок</t>
  </si>
  <si>
    <t>км</t>
  </si>
  <si>
    <t>в том числе по годам</t>
  </si>
  <si>
    <t xml:space="preserve">Подпрограмма 2 «Благоустройство территории Елизовского городского поселения» </t>
  </si>
  <si>
    <t>Источник финансирования</t>
  </si>
  <si>
    <t xml:space="preserve">Объем финансирования, тыс.руб.  </t>
  </si>
  <si>
    <t xml:space="preserve">Исполнитель </t>
  </si>
  <si>
    <t>Объем работ</t>
  </si>
  <si>
    <t>Основное мероприятие 2.1.  «Капитальный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ним»</t>
  </si>
  <si>
    <t>2018г.</t>
  </si>
  <si>
    <t>1.1.</t>
  </si>
  <si>
    <t xml:space="preserve">Капитальный ремонт и ремонт автомобильных дорог общего пользования населенных пунктов: </t>
  </si>
  <si>
    <t>Управление жилищно-коммунального хозяйства</t>
  </si>
  <si>
    <t>Управление архитектуры и градостроительства</t>
  </si>
  <si>
    <t>Основное мероприятие 2.3.  «Ремонт и реконструкция элементов архитектуры  ландшафта»</t>
  </si>
  <si>
    <t>МБУ "Благоустройство города Елизово"</t>
  </si>
  <si>
    <t>3.</t>
  </si>
  <si>
    <t>Основное мероприятие 2.5.   «Ремонт и устройство уличных сетей наружного освещения»</t>
  </si>
  <si>
    <t>3.1.</t>
  </si>
  <si>
    <t>3.2.</t>
  </si>
  <si>
    <t>4.</t>
  </si>
  <si>
    <t>Основное мероприятие 2.6.  «Обустройство мест массового отдыха населения, мест традиционного захоронения, а также ремонт и устройство ограждений объектов социальной сферы, парков, скверов»</t>
  </si>
  <si>
    <t>4.1.</t>
  </si>
  <si>
    <t>4.2.</t>
  </si>
  <si>
    <t>4.3.</t>
  </si>
  <si>
    <t>Разработка проекта по обустройству сквера в микрорайоне "Пограничный" по ул. Завойко в г.Елизово</t>
  </si>
  <si>
    <t>4.4.</t>
  </si>
  <si>
    <t>5.</t>
  </si>
  <si>
    <t>Основные мероприятия 2.7.   «Устройство, проектирование, восстановление детских и других придомовых площадок»</t>
  </si>
  <si>
    <t>5.1.</t>
  </si>
  <si>
    <t>Восстановление детских площадок</t>
  </si>
  <si>
    <t>Всего по Программе</t>
  </si>
  <si>
    <t xml:space="preserve"> 2.1.</t>
  </si>
  <si>
    <t>Количество мероприятий по благоустройству городского парка</t>
  </si>
  <si>
    <t>Капитальный ремонт и ремонт дворовых территорий многоквартирных домов и проездов к ним:</t>
  </si>
  <si>
    <t>1.2</t>
  </si>
  <si>
    <t>1.2.1</t>
  </si>
  <si>
    <t>1.2.2</t>
  </si>
  <si>
    <t>1.2.3</t>
  </si>
  <si>
    <t>1.2.4</t>
  </si>
  <si>
    <t>МБУ "Благоустройства города Елизово"</t>
  </si>
  <si>
    <t>Подпрограмма 2 "Благоустройство территории Елизовского городского поселения"</t>
  </si>
  <si>
    <t>Разработка ПСД</t>
  </si>
  <si>
    <t>Объем средств на реализацию мероприятий, всего                                     тыс. рублей</t>
  </si>
  <si>
    <t>Адрес дворовой территории</t>
  </si>
  <si>
    <t>Наименование мероприятия</t>
  </si>
  <si>
    <t>Устройство покрытия из резиновой крошки детского игрового комплекса расположенного в ПКиО "Сказка"</t>
  </si>
  <si>
    <t>Монтаж и установка сценического комплекса в ПКиО "Сказка"</t>
  </si>
  <si>
    <t>Год реализации                    мероприятия</t>
  </si>
  <si>
    <t>Наименование собственника (пользователь)</t>
  </si>
  <si>
    <t>Наименование (вид) территории</t>
  </si>
  <si>
    <t>Адрес местонахождения территории</t>
  </si>
  <si>
    <t>Приобретение и установка детских игровых комплексов в ПКиО "Сказка"</t>
  </si>
  <si>
    <t xml:space="preserve">Перечень мероприятий по благоустройству городского парка </t>
  </si>
  <si>
    <t>Общая площадь дворовой территории, кв. метров</t>
  </si>
  <si>
    <t xml:space="preserve">Адресный перечень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предпринимателей, подлежащих благоустройству за счет средств указанных лиц </t>
  </si>
  <si>
    <t xml:space="preserve">Подрограмма 1 «Современная городская среда в Елизовском городском поселении» </t>
  </si>
  <si>
    <t>Приобретение малых архитектурных форм</t>
  </si>
  <si>
    <t>Ремонт малой сцены "Ракушка"</t>
  </si>
  <si>
    <t>пог.м.</t>
  </si>
  <si>
    <t>г. Елизово, ул. Ленина 55</t>
  </si>
  <si>
    <t>г. Елизово, ул. Ленина 47</t>
  </si>
  <si>
    <t>г. Елизово, ул. Ленина 45</t>
  </si>
  <si>
    <t>г. Елизово, ул. Ленина 45а</t>
  </si>
  <si>
    <t>г. Елизово, ул. Ленина 53</t>
  </si>
  <si>
    <t>г. Елизово, ул. Ленина 41</t>
  </si>
  <si>
    <t>г. Елизово, ул. Ленина 41а</t>
  </si>
  <si>
    <t>г. Елизово, ул. Ленина 41в</t>
  </si>
  <si>
    <t>г. Елизово, ул. Завойко 111</t>
  </si>
  <si>
    <t>г. Елизово, ул. Завойко 31</t>
  </si>
  <si>
    <t>г. Елизово, ул. Завойко 65</t>
  </si>
  <si>
    <t>г. Елизово, ул. Завойко 63</t>
  </si>
  <si>
    <t>г. Елизово, ул. Завойко 19</t>
  </si>
  <si>
    <t>г. Елизово, ул. Ленина 41б</t>
  </si>
  <si>
    <t>г. Елизово, ул. Ленина 41/1</t>
  </si>
  <si>
    <t>г. Елизово, ул. Октябрьская 6</t>
  </si>
  <si>
    <t>г. Елизово, ул. Красноармейская 2</t>
  </si>
  <si>
    <t>г. Елизово, ул. Пограничная 31</t>
  </si>
  <si>
    <t>г. Елизово, ул. В. Кручины, 22</t>
  </si>
  <si>
    <t>г. Елизово, ул. Нагорная, 30</t>
  </si>
  <si>
    <t>Ремонт асфальтобетонного покрытия автомобильных дорог общего пользования в городе Елизово</t>
  </si>
  <si>
    <t>Ремонт асфальтобетонного покрытия дворовой территории МКД 6 по ул.Звездная городе Елизово.</t>
  </si>
  <si>
    <t>Разработка проекта "Строительство сооружения велосипедная дорожка в г.Елизово"</t>
  </si>
  <si>
    <t>Разработка проекта "Обустройство зоны городского парка отдыха у реки Половинка в г.Елизово"</t>
  </si>
  <si>
    <t xml:space="preserve">Ремонт асфальтобетонного покрытия парковочной площадки по ул.Магистральная в городе Елизово   </t>
  </si>
  <si>
    <t>МКД 45 по ул. Ленина</t>
  </si>
  <si>
    <t>МКД 45а по ул. Ленина</t>
  </si>
  <si>
    <t>МКД 47 по ул. Ленина</t>
  </si>
  <si>
    <t>МКД 55 по ул. Ленина</t>
  </si>
  <si>
    <t>Монтаж металлических опор  1 консольных со светильниками ДИОРА-90</t>
  </si>
  <si>
    <t>2</t>
  </si>
  <si>
    <t xml:space="preserve"> 1.2.1.2</t>
  </si>
  <si>
    <t>Установка декоративного металлического оргаждения высотой до 1,1 м.</t>
  </si>
  <si>
    <t>метр</t>
  </si>
  <si>
    <t xml:space="preserve"> 1.2.2.</t>
  </si>
  <si>
    <t xml:space="preserve"> 1.2.2.1.</t>
  </si>
  <si>
    <t xml:space="preserve">Обустройства мест массового отдыха населения (городских парков) </t>
  </si>
  <si>
    <t xml:space="preserve"> 3.1</t>
  </si>
  <si>
    <t>Вего по Подпрограмме 1</t>
  </si>
  <si>
    <t>Увеличение доли благоустроенных дворовых территорий от общего количества дворовых территорий</t>
  </si>
  <si>
    <t>Увеличение доли благоустроенных территорий общего пользования от общего количества общественных территорий</t>
  </si>
  <si>
    <t>Количество  благоустроенных территорий общего пользования</t>
  </si>
  <si>
    <t>Автомобильные парковки, в том числе:</t>
  </si>
  <si>
    <t>Итого по дворовым территориям:</t>
  </si>
  <si>
    <t>Итого по территории общего пользования:</t>
  </si>
  <si>
    <t xml:space="preserve"> 2.4. </t>
  </si>
  <si>
    <t xml:space="preserve">Благоустройство территорий общего пользования             </t>
  </si>
  <si>
    <t>Перечень мероприятий Подпрограммы 1 «Современная городская среда в Елизовском городском поселении на 2018 год</t>
  </si>
  <si>
    <t>Всего на 2018 год</t>
  </si>
  <si>
    <t>Год реализации</t>
  </si>
  <si>
    <t>2018 г.</t>
  </si>
  <si>
    <t>Архитектурная форма "Медведи"</t>
  </si>
  <si>
    <t>Наименование общественной территории</t>
  </si>
  <si>
    <t xml:space="preserve">Год реализации                    </t>
  </si>
  <si>
    <t>Парк культуры и отдыха "Сказка"</t>
  </si>
  <si>
    <t>Сквер ул. Ленина 26,28</t>
  </si>
  <si>
    <t>Сквер у памятника Ленину В.И.</t>
  </si>
  <si>
    <t>Сквер района дома № 112 по ул. Завойко</t>
  </si>
  <si>
    <t>шт</t>
  </si>
  <si>
    <t>Площадь благоустроенных территорий общего пользования</t>
  </si>
  <si>
    <t>довели</t>
  </si>
  <si>
    <t xml:space="preserve">Разработка пректной документации на ремонт асфальтобетонного покрытия автомобильной дороги общего пользования "пер. Тимирязевский"  в городе Елизово  </t>
  </si>
  <si>
    <t>Проектирование и строительство въездных стел в г. Елизово</t>
  </si>
  <si>
    <t>4.5.</t>
  </si>
  <si>
    <t>4.6.</t>
  </si>
  <si>
    <t>Разработка проекта памятного знака воинам советской и российской армии, погибшим в мирное время при исполнении служебного долга в Елизовском  городском поселении</t>
  </si>
  <si>
    <t>5.2.</t>
  </si>
  <si>
    <t>Установка элементов детского игрового комплекса по ул. Беринга в г. Елизово</t>
  </si>
  <si>
    <t>1.1.3</t>
  </si>
  <si>
    <t>1.1.4</t>
  </si>
  <si>
    <t>Ремонт асфальтобетонного покрытия тротуара дворовой территории МКД 49 по ул. Рябикова в городе Елизово</t>
  </si>
  <si>
    <t>4.7.</t>
  </si>
  <si>
    <t>Обустройство сквера Комсомольской славы в городе Елизово</t>
  </si>
  <si>
    <t>1.1.5</t>
  </si>
  <si>
    <t>Устройство покрытия из тротуарной плитки</t>
  </si>
  <si>
    <t>Установка малых архитектурных форм (ваза железобетонная)</t>
  </si>
  <si>
    <t>Устройство декоративного кованого ограждения</t>
  </si>
  <si>
    <t xml:space="preserve">Наименование территории общего пользования </t>
  </si>
  <si>
    <t>В рамках основного мероприятия государственной программы 1.1 «Предоставление межбюджетных трансфертов  муниципальным образованиям  в Камчатском крае на поддержку муниципальных программ формирования современной городской среды», предусматривается реализация следующих мероприятий:</t>
  </si>
  <si>
    <t>В рамках основного мероприятия государственной программы 1.2 «Предоставление межбюджетных трансфертов муниципальным образованиям в Камчатском крае на поддержку обустройства мест массового отдыха населения (городских парков)», предусматривается реализация мероприятия по благоустройству парка культуры и отдыха "Сказка"</t>
  </si>
  <si>
    <t xml:space="preserve">Наименование мероприятия  по парку </t>
  </si>
  <si>
    <t>Архитектурная форма Медведи"</t>
  </si>
  <si>
    <t>Монтаж и установка сценического комплекса в ПКиО Сказка"</t>
  </si>
  <si>
    <t>м2</t>
  </si>
  <si>
    <t xml:space="preserve"> 2.2.</t>
  </si>
  <si>
    <t>2.3.</t>
  </si>
  <si>
    <t xml:space="preserve"> 2.5. </t>
  </si>
  <si>
    <t>2.6.</t>
  </si>
  <si>
    <t>Всего по подпрограмме 1</t>
  </si>
  <si>
    <t>Расчет стоимости выполнения работ по мероприятиям Подпрограммы 1 «Современная городская среда в Елизовском городском поселении» на 2018 год</t>
  </si>
  <si>
    <t xml:space="preserve">Перечень дворовых территорий, нуждающихся в  благоустройстве по результатам инвентаризации                                   </t>
  </si>
  <si>
    <t>40 лет Октября</t>
  </si>
  <si>
    <t>10а</t>
  </si>
  <si>
    <t>41 лет Октября</t>
  </si>
  <si>
    <t xml:space="preserve"> 12 / 1</t>
  </si>
  <si>
    <t>Авачинский (переулок)</t>
  </si>
  <si>
    <t>Беринга</t>
  </si>
  <si>
    <t>21а</t>
  </si>
  <si>
    <t>В.Кручины</t>
  </si>
  <si>
    <t>В. Кручины</t>
  </si>
  <si>
    <t>12б</t>
  </si>
  <si>
    <t xml:space="preserve">В. Кручины </t>
  </si>
  <si>
    <t>25//2</t>
  </si>
  <si>
    <t xml:space="preserve"> 25 /3</t>
  </si>
  <si>
    <t>25/4</t>
  </si>
  <si>
    <t>26а</t>
  </si>
  <si>
    <t>36//1</t>
  </si>
  <si>
    <t xml:space="preserve">Ватутина </t>
  </si>
  <si>
    <t>Весенняя</t>
  </si>
  <si>
    <t>1а</t>
  </si>
  <si>
    <t>Взлетная</t>
  </si>
  <si>
    <t>Вилюйская</t>
  </si>
  <si>
    <t>Геофизическая</t>
  </si>
  <si>
    <t>Гришечко</t>
  </si>
  <si>
    <t>7а</t>
  </si>
  <si>
    <t xml:space="preserve">Дальневосточная </t>
  </si>
  <si>
    <t>Деркачева</t>
  </si>
  <si>
    <t>Завойко</t>
  </si>
  <si>
    <t>42"а"</t>
  </si>
  <si>
    <t xml:space="preserve">Завойко </t>
  </si>
  <si>
    <t>Заречная</t>
  </si>
  <si>
    <t>Звёздная</t>
  </si>
  <si>
    <t>Звездная</t>
  </si>
  <si>
    <t>3а</t>
  </si>
  <si>
    <t>5</t>
  </si>
  <si>
    <t>Инженерная</t>
  </si>
  <si>
    <t>Ключевская</t>
  </si>
  <si>
    <t>Красноармейская</t>
  </si>
  <si>
    <t>Красноярская</t>
  </si>
  <si>
    <t>2а</t>
  </si>
  <si>
    <t xml:space="preserve">Красноярская </t>
  </si>
  <si>
    <t>5а</t>
  </si>
  <si>
    <t>7</t>
  </si>
  <si>
    <t xml:space="preserve">Крашенинникова </t>
  </si>
  <si>
    <t>Ларина</t>
  </si>
  <si>
    <t>Ленина</t>
  </si>
  <si>
    <t>27а</t>
  </si>
  <si>
    <t>30А</t>
  </si>
  <si>
    <t>41//1</t>
  </si>
  <si>
    <t>41а</t>
  </si>
  <si>
    <t>41б</t>
  </si>
  <si>
    <t>41в</t>
  </si>
  <si>
    <t xml:space="preserve">Лесная </t>
  </si>
  <si>
    <t>1 "А"</t>
  </si>
  <si>
    <t>1 "Б"</t>
  </si>
  <si>
    <t>Лесная</t>
  </si>
  <si>
    <t>4а</t>
  </si>
  <si>
    <t>10/1</t>
  </si>
  <si>
    <t>10/2</t>
  </si>
  <si>
    <t>10/3</t>
  </si>
  <si>
    <t>12 "А"</t>
  </si>
  <si>
    <t>Магистральная</t>
  </si>
  <si>
    <t>Мирная</t>
  </si>
  <si>
    <t>Мурманская</t>
  </si>
  <si>
    <t>9а</t>
  </si>
  <si>
    <t>Набережная</t>
  </si>
  <si>
    <t xml:space="preserve">Нагорная </t>
  </si>
  <si>
    <t>20 "А"</t>
  </si>
  <si>
    <t>Нагорная</t>
  </si>
  <si>
    <t>Партизанская</t>
  </si>
  <si>
    <t>Первомайская</t>
  </si>
  <si>
    <t>Пограничная</t>
  </si>
  <si>
    <t>21"а"</t>
  </si>
  <si>
    <t>23</t>
  </si>
  <si>
    <t xml:space="preserve"> 23/1</t>
  </si>
  <si>
    <t>Подстанционная</t>
  </si>
  <si>
    <t>Попова</t>
  </si>
  <si>
    <t>22а</t>
  </si>
  <si>
    <t>22б</t>
  </si>
  <si>
    <t>Пушкина</t>
  </si>
  <si>
    <t xml:space="preserve">Рабочей Смены </t>
  </si>
  <si>
    <t>3"а"</t>
  </si>
  <si>
    <t>Радужный</t>
  </si>
  <si>
    <t>Рябикова</t>
  </si>
  <si>
    <t>40а</t>
  </si>
  <si>
    <t>51а</t>
  </si>
  <si>
    <t>С.Мячина</t>
  </si>
  <si>
    <t>14а</t>
  </si>
  <si>
    <t>Санаторная</t>
  </si>
  <si>
    <t>Связи</t>
  </si>
  <si>
    <t>Северная</t>
  </si>
  <si>
    <t>Смоленская</t>
  </si>
  <si>
    <t xml:space="preserve">Соловьева </t>
  </si>
  <si>
    <t>Сопочная</t>
  </si>
  <si>
    <t xml:space="preserve">Сопочная </t>
  </si>
  <si>
    <t>Спортивная</t>
  </si>
  <si>
    <t xml:space="preserve">Строительная </t>
  </si>
  <si>
    <t>6а</t>
  </si>
  <si>
    <t>Тимирязевский</t>
  </si>
  <si>
    <t xml:space="preserve">Уральская </t>
  </si>
  <si>
    <t>Уральская</t>
  </si>
  <si>
    <t>Хирургическая</t>
  </si>
  <si>
    <t>Хуторская</t>
  </si>
  <si>
    <t xml:space="preserve">Чернышевского </t>
  </si>
  <si>
    <t>Чкалова</t>
  </si>
  <si>
    <t xml:space="preserve">Школьная </t>
  </si>
  <si>
    <t>1б</t>
  </si>
  <si>
    <t xml:space="preserve"> 5/1</t>
  </si>
  <si>
    <t>Энергетиков</t>
  </si>
  <si>
    <t>№ дома</t>
  </si>
  <si>
    <t xml:space="preserve">Городской парк отдыха  у р. Половинка </t>
  </si>
  <si>
    <t>Парк культуры и отдыха «СКАЗКА»</t>
  </si>
  <si>
    <t>Набережная вдоль р. Половинка</t>
  </si>
  <si>
    <t>Сквер Дружбы между г. Елизово и г. Сяри</t>
  </si>
  <si>
    <t xml:space="preserve">Сквер район дома № 112 по ул. Завойко </t>
  </si>
  <si>
    <t>Межквартальный проезд  от ул. Завойко до МКД 14 по ул. Лесная</t>
  </si>
  <si>
    <t>Улица Шоссейная (от ул. Северная до ул. Магистральная)</t>
  </si>
  <si>
    <t>Парковка в районе РДК ул. Рябикова</t>
  </si>
  <si>
    <t xml:space="preserve">Сквер ул. Ленина 26, 28 </t>
  </si>
  <si>
    <t xml:space="preserve">Сквер ул. Ленина 33, 37 </t>
  </si>
  <si>
    <t xml:space="preserve">Сквер ул. Ленина 34, 36 </t>
  </si>
  <si>
    <t xml:space="preserve">Рекреационная зона набережной  р. Авача </t>
  </si>
  <si>
    <t xml:space="preserve">Перечень общественных территорий, нуждающихся в  благоустройстве по результатам инвентаризации        </t>
  </si>
  <si>
    <t xml:space="preserve">Ремонт автомобильной дороги общего пользования ул. Зеленая, ул. Амурская с тротуарами в городе Елизово  </t>
  </si>
  <si>
    <t>Ремонт асфальтобетонного покрытия проездов к территориям МКД с тротуарами по ул. Лесной в городе Елизово</t>
  </si>
  <si>
    <t>Выполнение работ по изготовлению опор уличного освещения</t>
  </si>
  <si>
    <t>Восстановление сети наружного освещения автомобильной дороги по ул. Попова от ул. Связи до проспекта Мира в г. Елизово</t>
  </si>
  <si>
    <t>5.3.</t>
  </si>
  <si>
    <t>Приобритение и установка  детского игрового комплекса придомовой территории ул. 40 лет Октября,12 в г. Елизово</t>
  </si>
  <si>
    <t>5.4.</t>
  </si>
  <si>
    <t>5.5.</t>
  </si>
  <si>
    <t>Установка детского игрового комплекса в районе многоквартирного дома по ул. Завойко, дом № 19</t>
  </si>
  <si>
    <t>Благоустройство детской игровой площадки в микрорайоне "26 километр" по адресу: г.Елизово, ул. Школьная, 1а</t>
  </si>
  <si>
    <t>1.1.6</t>
  </si>
  <si>
    <t>Ремонт асфальтобетонного покрытия автомобильной дороги  по ул. Гришечко в городе Елизово</t>
  </si>
  <si>
    <t>1.1.7</t>
  </si>
  <si>
    <t>Ремонт асфальтобетонного покрытия автомобильной дороги с тротуаром по ул. Беринга в городе Елизово</t>
  </si>
  <si>
    <t>1.1.8</t>
  </si>
  <si>
    <t>Ремонт асфальтобетонного покрытия автомобильной дороги общего пользования с тротуаром по ул. Завойко в городе Елизово</t>
  </si>
  <si>
    <t>Велосипедная дорожка вдоль дороги на г.Морозная</t>
  </si>
  <si>
    <t xml:space="preserve"> Участки территории Елизовского городского поселения, прилегающей к автомобильной дороге «Елизово-Паратунка» км 4+106 м, прилегающей к проезду к многоквартирному дому №104 по ул. Завойко </t>
  </si>
  <si>
    <t>  ООО «777»</t>
  </si>
  <si>
    <t>Благоустройство территорий общего пользования, в том числе:</t>
  </si>
  <si>
    <t xml:space="preserve">"Архитектурная форма "Медведи"           </t>
  </si>
  <si>
    <t xml:space="preserve"> 2.1</t>
  </si>
  <si>
    <t>Перечень мероприятий Подпрограммы 1 «Современная городская среда в Елизовском городском поселении на 2019 год</t>
  </si>
  <si>
    <t>2019г.</t>
  </si>
  <si>
    <t>Срок исполнения</t>
  </si>
  <si>
    <t>Исполнитель</t>
  </si>
  <si>
    <t>Основное мероприятие 2.1."Капитальный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</t>
  </si>
  <si>
    <t>2019 г</t>
  </si>
  <si>
    <t>420</t>
  </si>
  <si>
    <t>2000</t>
  </si>
  <si>
    <t>Основное мероприятие 2.3. "Ремонт и реконструкция элементов архитектуры ландшафта"</t>
  </si>
  <si>
    <t>Основное мероприятие 2.5. "Ремонт и устройство уличных сетей наружного освещения"</t>
  </si>
  <si>
    <t>Основное мероприятие 2.6.  "Обустройство мест массового отдыха населения, мест традиционного захоронения, а также ремонт и устройство ограждений объектов социальной сферы, парков, скверов"</t>
  </si>
  <si>
    <t>ИТОГО по Подпрограмме 2</t>
  </si>
  <si>
    <t>Перечень основных мероприятий   Подпрограммы 2  «Благоустройство территории Елизовского городского поселения» на 2018 год</t>
  </si>
  <si>
    <t>Ремонт асфальтобетонного покрытия автомобильной дороги на подъезде к  школе-интернату №3 по ул. Санаторная в городе Елизово</t>
  </si>
  <si>
    <t>Ремонт асфальтобетонного покрытия по межквартальным проездам и придомовым проездам в мкр. ул.Звездная</t>
  </si>
  <si>
    <t>3.3.</t>
  </si>
  <si>
    <t>3.4.</t>
  </si>
  <si>
    <t>ПКиО Сказка"</t>
  </si>
  <si>
    <t xml:space="preserve"> 2.7</t>
  </si>
  <si>
    <t>Благоустройство дворовой территори  МКД № 55 по ул. Ленина в городе Елизово</t>
  </si>
  <si>
    <t>Благоустройство дворовой территории МКД № 47 по ул. Ленина в городе Елизово</t>
  </si>
  <si>
    <t>Благоустройство дворовой территории МКД № 45а по ул. Ленина в городе Елизово</t>
  </si>
  <si>
    <t>Благоустройство дворовой территории МКД № 45 по ул. Ленина в городе Елизово</t>
  </si>
  <si>
    <t>2018-2019 гг.</t>
  </si>
  <si>
    <t>Благоустройство дворовой территории МКД № 41А по ул. Ленина в городе Елизово</t>
  </si>
  <si>
    <t>Благоустройство дворовой территории МКД № 41Б по ул. Ленина в городе Елизово</t>
  </si>
  <si>
    <t>МКД 41А по ул. Ленина</t>
  </si>
  <si>
    <t>п.м</t>
  </si>
  <si>
    <t>1.1.9</t>
  </si>
  <si>
    <t>Проведение испытаний смеси асфальтобетонной дорожной</t>
  </si>
  <si>
    <t xml:space="preserve"> 1.1.5</t>
  </si>
  <si>
    <t xml:space="preserve"> 1.1.6</t>
  </si>
  <si>
    <t>2.2.</t>
  </si>
  <si>
    <t xml:space="preserve"> 1.2.2</t>
  </si>
  <si>
    <t>Изготовление сценического комплекса в ПКиО "Сказка"</t>
  </si>
  <si>
    <t>Изготовление, монтаж и установка сценического комплекса в ПКиО "Сказка"</t>
  </si>
  <si>
    <t xml:space="preserve"> 2.8</t>
  </si>
  <si>
    <t xml:space="preserve">Восстановление сети наружного освещения автомобильной дороги по ул. Попова </t>
  </si>
  <si>
    <t>Восстановление сети  наружного освещения тротуара по ул. Ленина от пер. Тимирязевский до МКД ул. Ленина 44</t>
  </si>
  <si>
    <t>Расчет стоимости выполнения работ по мероприятиям Подпрограммы 1 «Современная городская среда в Елизовском городском поселении» на 2019 год</t>
  </si>
  <si>
    <t>«Благоустройство дворовых территорий»</t>
  </si>
  <si>
    <t>МКД 41Б по ул. Ленина</t>
  </si>
  <si>
    <t>Изготовление малых архитектурных форм (скамеек)</t>
  </si>
  <si>
    <t>Перевозка малых архитектурных форм (скамеек)</t>
  </si>
  <si>
    <t>2019 г.</t>
  </si>
  <si>
    <t>Основное мероприятие 2.2.  «Ландшафтная организация территорий, в том числе озеленение, муниципальных образований в Камчатском Крае", в том числе:</t>
  </si>
  <si>
    <t>Основное мероприятие 2.7 "Устройство, проектирование восстановление детских площадок и других придомовых площадок"</t>
  </si>
  <si>
    <t xml:space="preserve"> 4.1</t>
  </si>
  <si>
    <t xml:space="preserve"> 5.1</t>
  </si>
  <si>
    <t>6.</t>
  </si>
  <si>
    <t xml:space="preserve"> 6.1</t>
  </si>
  <si>
    <t>7.</t>
  </si>
  <si>
    <t xml:space="preserve">Ремонт автомобильной дороги общего пользования с тротуаром ул. Сопочная в городе Елизово      </t>
  </si>
  <si>
    <t>Приведение в нормативное состояние автомобильных дорог , межквартальных проездов, парковок  и тротуаров  в городе Елизово в соответствии с требованиями ГОСТ Р 50597-2017 и  СНиП 35-01-2001</t>
  </si>
  <si>
    <t>7.1</t>
  </si>
  <si>
    <t xml:space="preserve">Парк культуры и отдыха "Сказка"  </t>
  </si>
  <si>
    <t>Благоустройство дворовой территории МКД № 41 по ул. Ленина в городе Елизово</t>
  </si>
  <si>
    <t>Благоустройство дворовой территории МКД № 41/1 по ул. Ленина в городе Елизово</t>
  </si>
  <si>
    <t>Изготовление топографической сьемки на часть территории муниципального кладбища в городе Елизово</t>
  </si>
  <si>
    <t>Ремонт площадок по сбору ТКО и установка урн на муниципальном кладбище в городе Елизово</t>
  </si>
  <si>
    <t>Обустройство площадки с туалетными кабинками  на муниципальном кладбище в городе Елизово</t>
  </si>
  <si>
    <t xml:space="preserve">Перечень мероприятий Подпрограммы 1 «Современная городская среда в Елизовском городском поселении» </t>
  </si>
  <si>
    <t>Всего на 2019 год</t>
  </si>
  <si>
    <t>Выполнение работ по восстановлению сетей наружного освещения от переулка Флотского до перекрестка ул. Беринга и ул.Рябикова</t>
  </si>
  <si>
    <t>Поставка мини-погрузчика дизельного в комплекте с оборудованием</t>
  </si>
  <si>
    <t xml:space="preserve">по итогам  голосования в 2019 году </t>
  </si>
  <si>
    <t>Благоустройство дворовой территории МКД № 41а по ул. Ленина в городе Елизово</t>
  </si>
  <si>
    <t>Благоустройство дворовой территории МКД № 41б по ул. Ленина в городе Елизово</t>
  </si>
  <si>
    <t>Благоустройство дворовой территории МКД № 41в по ул. Ленина в городе Елизово</t>
  </si>
  <si>
    <t>Устройство ограждения и пешеходных дорожек в ПКиО "Сказка"</t>
  </si>
  <si>
    <t>МКД 41 по ул. Ленина</t>
  </si>
  <si>
    <t>МКД 41/1 по ул. Ленина</t>
  </si>
  <si>
    <t>1</t>
  </si>
  <si>
    <t>4</t>
  </si>
  <si>
    <t xml:space="preserve">Парк культуры и отдыха "Сказка" </t>
  </si>
  <si>
    <t xml:space="preserve"> - ремонт площадок по сбору ТКО и установка урн на муниципальном кладбище </t>
  </si>
  <si>
    <t xml:space="preserve"> -  обустройство площадки с туалетными кабинками</t>
  </si>
  <si>
    <t xml:space="preserve"> - разработка проектно-сметной документации</t>
  </si>
  <si>
    <t>Обустройство мест массового отдыха населения, мест традиционного захоронения:</t>
  </si>
  <si>
    <t>МКД 41В по ул. Ленина</t>
  </si>
  <si>
    <t>7.2</t>
  </si>
  <si>
    <t>Приобретение детского игрового комплекса</t>
  </si>
  <si>
    <t xml:space="preserve">Тротуар по ул. Ленина вдоль МКД № 26,28 </t>
  </si>
  <si>
    <t>Устройство детской площадки в парке культуры и отдыха "Сказка"  города Елизово</t>
  </si>
  <si>
    <t>В рамках основного мероприятия государственной программы 1.2 «Предоставление межбюджетных трансфертов муниципальным образованиям в Камчатском крае на поддержку обустройства мест массового отдыха населения (городских парков)»</t>
  </si>
  <si>
    <t>Разработка проектной  документации на благоустройство сквера ул. Ленина 26, 28 (территория ЗАГС)</t>
  </si>
  <si>
    <t>2019г</t>
  </si>
  <si>
    <t xml:space="preserve"> - изготовление и установка юбилейного логотипа в честь 45-летия г. Елизово</t>
  </si>
  <si>
    <t>Установка ограждения в парке культуры и отдыха "Сказка"</t>
  </si>
  <si>
    <t xml:space="preserve">Устройство пешеходных дорожек, установка ограждения </t>
  </si>
  <si>
    <t>Тротуар по ул. Ленина вдоль МКД № 26,28 (район ЗАГСа)</t>
  </si>
  <si>
    <t xml:space="preserve">по итогам рейтингового голосования состоявшегося             18 марта 2018 года </t>
  </si>
  <si>
    <t>Приложение 8/1 
к  Программе «Формирование современной городской среды в Елизовском городском поселении»</t>
  </si>
  <si>
    <t>Сквер «34 км» мкр. «Северный»</t>
  </si>
  <si>
    <t>Сквер у памятного знака погибшим землякам (ул. Завойко, мкр. "Пограничный" )</t>
  </si>
  <si>
    <t>Приложение 8 
к  Программе «Формирование современной                                                                                                     городской среды в Елизовском городском                                                                                   поселении»</t>
  </si>
  <si>
    <t xml:space="preserve">Приложение 9 
к  Программе «Формирование современной городской среды в Елизовском городском поселении» </t>
  </si>
  <si>
    <t>Приложение 10 
к  Программе «Формирование современной городской среды в Елизовском городском поселении»</t>
  </si>
  <si>
    <t>Год реализации благоустройства</t>
  </si>
  <si>
    <t xml:space="preserve">Приложение 2
к  Программе «Формирование современной городской среды в Елизовском городском поселении»  
</t>
  </si>
  <si>
    <t>Приложение 3
к  Программе «Формирование современной городской среды в Елизовском городском поселении»</t>
  </si>
  <si>
    <t>Приложение 3/1
к  Программе «Формирование современной городской среды в Елизовском городском поселении»</t>
  </si>
  <si>
    <t>Приложение 4/1 к Программе                                                           "Формирование современной городской среды в Елизовском городском поселении"</t>
  </si>
  <si>
    <t>Приложение 5
к  Программе «Формирование современной городской среды                                         в Елизовском городском поселении»</t>
  </si>
  <si>
    <t>Приложение 5/1
к  Программе «Формирование современной городской среды                                         в Елизовском городском поселении»</t>
  </si>
  <si>
    <t>Приложение 7
к  Программе «Формирование современной городской среды в Елизовском городском поселении»</t>
  </si>
  <si>
    <t>Сведения о целевых  показателях (индикаторов) муниципальной программы "Формирование современной городской среды"</t>
  </si>
  <si>
    <t xml:space="preserve"> -</t>
  </si>
  <si>
    <t>Восстановление сетей наружного освещения по ул. Сопочная и ул. Красноармейская в г.Елизово</t>
  </si>
  <si>
    <t xml:space="preserve"> 3.2</t>
  </si>
  <si>
    <t xml:space="preserve"> 3.3</t>
  </si>
  <si>
    <t xml:space="preserve"> 3.4</t>
  </si>
  <si>
    <t xml:space="preserve"> 3.5</t>
  </si>
  <si>
    <t xml:space="preserve"> 4.2</t>
  </si>
  <si>
    <t xml:space="preserve"> 4.3</t>
  </si>
  <si>
    <t>4.4</t>
  </si>
  <si>
    <t>4.5</t>
  </si>
  <si>
    <t>4.6</t>
  </si>
  <si>
    <t>4.7</t>
  </si>
  <si>
    <t>Разработка эскиза памятного знака Г.М. Елизову</t>
  </si>
  <si>
    <t xml:space="preserve">Финансовое обеспечение реализации муниципальной программы «Формирование современной городской среды в  Елизовском городском поселении» </t>
  </si>
  <si>
    <t>Приложение 6
к  Программе «Формирование современной городской среды в Елизовском городском поселении»</t>
  </si>
  <si>
    <t>Приложение 7/1
к  Программе «Формирование современной городской среды в Елизовском городском поселении»</t>
  </si>
  <si>
    <t>Перечень общественных территорий, подлежащих благоустройству                                                                              по итогам  голосования</t>
  </si>
  <si>
    <t xml:space="preserve">Ремонт парковки пер.Почтовый,3 в городе Елизово </t>
  </si>
  <si>
    <t>Ремонт асфальтобетонного покрытия межквартального проезда от пер.Радужный до МКД 17 по ул. Гришечко в городе Елизово</t>
  </si>
  <si>
    <t>Проектирование и строительство объекта"Благоустройство сквера Космонавтов (сквера Комсомольской славы)</t>
  </si>
  <si>
    <t xml:space="preserve"> 3.1.</t>
  </si>
  <si>
    <t>3.1.1.</t>
  </si>
  <si>
    <t>3.1.2.</t>
  </si>
  <si>
    <t>3.1.3.</t>
  </si>
  <si>
    <t>1.2.</t>
  </si>
  <si>
    <t xml:space="preserve">Капитальный ремонт и ремонт дворовых территорий многоквартирных домов и проездов к ним: </t>
  </si>
  <si>
    <t>Ремонт автомобильной дороги общего пользования с тротуаром пер.Тимирязевский" в городе Елизово</t>
  </si>
  <si>
    <t>378</t>
  </si>
  <si>
    <t>200</t>
  </si>
  <si>
    <t>Ремонт асфальтобетонного покрытия и тротуаров на выезде с Центрального рынка на ул. В.Кручины в городе Елизово</t>
  </si>
  <si>
    <t>30</t>
  </si>
  <si>
    <t>Ремонт автомобильной дороги общего пользования с тротуаром "ул.Рабочей смены" в городе Елизово</t>
  </si>
  <si>
    <t>460</t>
  </si>
  <si>
    <t>4700</t>
  </si>
  <si>
    <t>Ремонт автомобильной дороги общего пользования с тротуаром "ул.В.Кручины" в городе Елизово</t>
  </si>
  <si>
    <t>700</t>
  </si>
  <si>
    <t>6800</t>
  </si>
  <si>
    <t>203</t>
  </si>
  <si>
    <t>Устройство пешеходных дорожек в парке культуры и отдыха "Сказка"</t>
  </si>
  <si>
    <t>Выполнение работ по восстановлению ограждений детских площадок по ул. Завойко д.42а и  ул. Попова города Елизово</t>
  </si>
  <si>
    <t>45а</t>
  </si>
  <si>
    <t>Октябрьская</t>
  </si>
  <si>
    <t>Восстановление сетей наружного освещения на участке военной дороги                                   28 км</t>
  </si>
  <si>
    <t>2020г.</t>
  </si>
  <si>
    <t xml:space="preserve"> 1.1.2.</t>
  </si>
  <si>
    <t xml:space="preserve"> 1.1.3.</t>
  </si>
  <si>
    <t xml:space="preserve"> 1.1.4.</t>
  </si>
  <si>
    <t xml:space="preserve"> 1.1.5.</t>
  </si>
  <si>
    <t>Ремонт асфальтобетонного покрытия парковочной площадки по ул. Сопочная и ул.Красноармейская в городе Елизово</t>
  </si>
  <si>
    <t xml:space="preserve">Поставка рассады цветов </t>
  </si>
  <si>
    <t>1.1.10</t>
  </si>
  <si>
    <t>1.1.11</t>
  </si>
  <si>
    <t>1.1.12</t>
  </si>
  <si>
    <t>1.1.13</t>
  </si>
  <si>
    <t>Ремонт автомобильной дороги общего пользования "пер.Радужный" в городе Елизово</t>
  </si>
  <si>
    <t>440</t>
  </si>
  <si>
    <t>3080</t>
  </si>
  <si>
    <t>Ремонт парковки по ул. Завойко, 40 в городе Елизово (первый этап - подготовка основания)</t>
  </si>
  <si>
    <t>61</t>
  </si>
  <si>
    <t>Ремонт парковки по ул.Рябикова, 27 (ЕРДК) в городе Елизово</t>
  </si>
  <si>
    <t>550</t>
  </si>
  <si>
    <t>3850</t>
  </si>
  <si>
    <t>Ремонт тротуара по пер. Тимирязевский в городе Елизово</t>
  </si>
  <si>
    <t>205</t>
  </si>
  <si>
    <t>410</t>
  </si>
  <si>
    <t>Ремонт проезда и парковки к ЕНШ №5 в городе Елизово</t>
  </si>
  <si>
    <t>365</t>
  </si>
  <si>
    <t>Ремонт межквартального проезда от МКД 53 по ул.Рябикова до МКД 32 по ул.Ленина в городе Елизово</t>
  </si>
  <si>
    <t>220</t>
  </si>
  <si>
    <t xml:space="preserve">Проверка достоверности сметной стоимости  проектной документации на благоустройство сквера ул. Ленина 26, 28 (территория ЗАГС) </t>
  </si>
  <si>
    <t xml:space="preserve"> 2.2</t>
  </si>
  <si>
    <t>Выполнение работ по монтажу памятного знака Елизову Г.М. в г.Елизово, мемориальный комплекс "Аллея Доблести и Славы"</t>
  </si>
  <si>
    <t>1.1.14</t>
  </si>
  <si>
    <t>Ремонт парковки МКД 53 по ул. Рябикова в городе Елизово</t>
  </si>
  <si>
    <t>650</t>
  </si>
  <si>
    <t xml:space="preserve"> 2.3</t>
  </si>
  <si>
    <t>Изготовление памятного знака Елизову Г.М. в г.Елизово, мемориальный комплкс "Аллея Доблести и Славы"</t>
  </si>
  <si>
    <t>Установка металлических опор уличного освещения по ул. Горная, ул.Ленина в г.Елизово</t>
  </si>
  <si>
    <t>4.8</t>
  </si>
  <si>
    <t>Выполнение работ по монтажу и установке сценического комплекса в парке культуры и отдыха "Сказка" в городе Елизово</t>
  </si>
  <si>
    <t>ед</t>
  </si>
  <si>
    <t>8.</t>
  </si>
  <si>
    <t>8.1</t>
  </si>
  <si>
    <t>Выполнение работ по благоустройству по ул. Сопочная в г. Елизово</t>
  </si>
  <si>
    <t>Основное мероприятие 2.4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контейнеров, благоустройство муниципальных учреждений"</t>
  </si>
  <si>
    <t>1.1.15</t>
  </si>
  <si>
    <t>128</t>
  </si>
  <si>
    <t>98</t>
  </si>
  <si>
    <t>2020 г</t>
  </si>
  <si>
    <t>Приобретение мусоросборных контейнеров</t>
  </si>
  <si>
    <t xml:space="preserve"> 3.6</t>
  </si>
  <si>
    <t>Ремонт дорог, парковок на муниципальном кладбище</t>
  </si>
  <si>
    <t>Проектирование и строительство объекта"Благоустройство сквера Космонавтов (сквера Комсомольской славы), в том числе:</t>
  </si>
  <si>
    <t>Приложение 4/2 к Программе                                                           "Формирование современной городской среды в Елизовском городском поселении"</t>
  </si>
  <si>
    <t>Приложение 3/2
к  Программе «Формирование современной городской среды в Елизовском городском поселении»</t>
  </si>
  <si>
    <t xml:space="preserve">Подпрограмма 1 «Современная городская среда в Елизовском городском поселении» </t>
  </si>
  <si>
    <t>Всего на 2020 год</t>
  </si>
  <si>
    <t xml:space="preserve">Перечень основных мероприятий Подпрограммы 2 «Благоустройство территории Елизовского городского поселения» на 2020 год  </t>
  </si>
  <si>
    <t>Восстановление детских площадок (изготовление и установка информационных табличек)</t>
  </si>
  <si>
    <t>Устройство и озеленение клумб в городе Елизово</t>
  </si>
  <si>
    <t xml:space="preserve"> - изготовление топографической съемки на часть территории муниципального кладбища</t>
  </si>
  <si>
    <t>Технологическое присоединение к  электрическим сетям объекта "Благоустройство сквера Космонавтов (сквера Комсомольской славы)"</t>
  </si>
  <si>
    <t>Приложение 3/4
к  Программе «Формирование современной городской среды в Елизовском городском поселении»</t>
  </si>
  <si>
    <t>Перечень мероприятий Подпрограммы 1 «Современная городская среда в Елизовском городском поселении на 2022 год</t>
  </si>
  <si>
    <t xml:space="preserve">Перечень основных мероприятий Подпрограммы 2 «Благоустройство территории Елизовского городского поселения» на 2021 год  </t>
  </si>
  <si>
    <t>2021г.</t>
  </si>
  <si>
    <t xml:space="preserve">Перечень основных мероприятий Подпрограммы 2 «Благоустройство территории Елизовского городского поселения» на 2022 год  </t>
  </si>
  <si>
    <t>Изготовление юбилейного логотипа в честь 45-летия г. Елизово</t>
  </si>
  <si>
    <t>В рамках основного мероприятия государственной программы 1.F2 «Региональный проект  «Формирование комфортной городской среды».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</t>
  </si>
  <si>
    <t>Ремонт тротуара по ул. Ленина  от МКД  32 до МКД 44 с обустройством подходов к пешеходным переходам и автобусным остановкам</t>
  </si>
  <si>
    <t>850</t>
  </si>
  <si>
    <t>Капитальный ремонт и ремонт дворовых территорий многоквартирных домов и проездов к ним</t>
  </si>
  <si>
    <t>260</t>
  </si>
  <si>
    <t>1.2.5</t>
  </si>
  <si>
    <t>1.2.6</t>
  </si>
  <si>
    <t xml:space="preserve">Ремонт дворовой территории МКД 4 по ул.Беринга в городе Елизово </t>
  </si>
  <si>
    <t>90</t>
  </si>
  <si>
    <t xml:space="preserve">Ремонт дворовой территории МКД 9 по ул.Набережная в городе Елизово </t>
  </si>
  <si>
    <t xml:space="preserve">Ремонт дворовой территории МКД 13 по ул.Набережная в городе Елизово </t>
  </si>
  <si>
    <t xml:space="preserve">Ремонт дворовой территории МКД 23 по ул.Набережная в городе Елизово </t>
  </si>
  <si>
    <t>100</t>
  </si>
  <si>
    <t>170</t>
  </si>
  <si>
    <t xml:space="preserve">Ремонт дворовой территории МКД 40 по ул.Рябикова в городе Елизово </t>
  </si>
  <si>
    <t xml:space="preserve">Ремонт дворовой территории МКД 40а по ул.Рябикова в городе Елизово </t>
  </si>
  <si>
    <t>123</t>
  </si>
  <si>
    <t>110</t>
  </si>
  <si>
    <t>Приведение в нормативное состояние автомобильных дорог, межквартальных проездов, парковок  и тротуаров  в городе Елизово в соответствии с требованиями ГОСТ Р 50597-2017 и  СНиП 35-01-2001</t>
  </si>
  <si>
    <t>1.1.16</t>
  </si>
  <si>
    <t>Ремонт проезда к Детской библиотеке от ул. В. Кручины в городе Елизово</t>
  </si>
  <si>
    <t>Ремонт тротуара вдоль СОШ №8 от МКД 59 и МКД 61 по ул. Рябикова в г. Елизово</t>
  </si>
  <si>
    <t>Ремонт межквартальных проездов к МКД 16,18 по ул.Рябикова</t>
  </si>
  <si>
    <t xml:space="preserve">Выполнение работ по восстановлению сетей наружного освещения 
на ул.Мичурина и ул.Садовая
</t>
  </si>
  <si>
    <t>Ремонт дворовой территории МКД 16 по ул. Рябикова в городе Елизово</t>
  </si>
  <si>
    <t>Ремонт дворовой территории МКД 18 по ул. Рябикова в городе Елизово</t>
  </si>
  <si>
    <t xml:space="preserve"> 5.2</t>
  </si>
  <si>
    <t xml:space="preserve"> х</t>
  </si>
  <si>
    <t>ООО "Дружба"</t>
  </si>
  <si>
    <t xml:space="preserve">Территория прилегающая к земельному участку с кадастровым номером 41:05:0101001:11330 </t>
  </si>
  <si>
    <t>г.Елизово, ул.Ленина, 6</t>
  </si>
  <si>
    <t>2019-2022</t>
  </si>
  <si>
    <t>Услуги по посадке рассады цветов и уходу за газонами и цветниками на территории города Елизово</t>
  </si>
  <si>
    <t>Основное мероприятие 2.9 "Проведение мероприятий, направленных на благоустройство территорий объектов, расположенных в населенных пунктах Камчатского края, в том числе территорий зданий, строений, сооружений, прилегающих территорий"</t>
  </si>
  <si>
    <t>3.1.4.</t>
  </si>
  <si>
    <t>3.1.5.</t>
  </si>
  <si>
    <t>Проведение авторского надзора за строительством объекта"Благоустройство сквера Космонавтов (сквера Комсомольской славы)"</t>
  </si>
  <si>
    <t>Строительство объекта"Благоустройство сквера Космонавтов (сквера Комсомольской славы)"</t>
  </si>
  <si>
    <t>Строительный контроль объекта"Благоустройство сквера Космонавтов (сквера Комсомольской славы)"</t>
  </si>
  <si>
    <t>Проведение государственной экспертизы и проверки достоверностми сметной стоимости проектной документации объекта"Благоустройство сквера Космонавтов (сквера Комсомольской славы)"</t>
  </si>
  <si>
    <t>Разработка проектной документации объекта"Благоустройство сквера Космонавтов (сквера Комсомольской славы)"</t>
  </si>
  <si>
    <t>Поставка малых архитектурных форм</t>
  </si>
  <si>
    <t>Поставка малых архитектурных форм в парке культуры и отдыха "Сказка"  города Елизово:                                                                                                                     - выполнение работ по изготовлению скамеек металлических с деревянным заполнениеми элементами ковки;                                                                                                                               - перевозка скамеек.</t>
  </si>
  <si>
    <t>г. Елизово, ул. Рябикова 14</t>
  </si>
  <si>
    <t>г. Елизово, ул. Лесная 10/1</t>
  </si>
  <si>
    <t>г. Елизово, ул. Нагорная 28</t>
  </si>
  <si>
    <t>г. Елизово, ул. В.Кручины 25/3</t>
  </si>
  <si>
    <t>г. Елизово, ул. 40 лет Октября 7</t>
  </si>
  <si>
    <t>г. Елизово, ул. В.Кручины 27</t>
  </si>
  <si>
    <t>г. Елизово, ул. В.Кручины 28</t>
  </si>
  <si>
    <t>2023-2024 гг.</t>
  </si>
  <si>
    <t>Ремонт тротуара</t>
  </si>
  <si>
    <t>Устройство скейт-парка</t>
  </si>
  <si>
    <t>Восстановление твердого покрытия на площадке проведения массовых мероприятий</t>
  </si>
  <si>
    <r>
      <t xml:space="preserve">Адресный перечень дворовых территорий сформирован </t>
    </r>
    <r>
      <rPr>
        <b/>
        <sz val="11"/>
        <color theme="1"/>
        <rFont val="Times New Roman"/>
        <family val="1"/>
        <charset val="204"/>
      </rPr>
      <t xml:space="preserve">до вступления </t>
    </r>
    <r>
      <rPr>
        <sz val="11"/>
        <color theme="1"/>
        <rFont val="Times New Roman"/>
        <family val="1"/>
        <charset val="204"/>
      </rPr>
      <t>в силу постановления Правительства Российской Федерации от 9 февраля 2019 года № 106 "О внесении изменений в приложение №15 к государственной программе Российской Федерации "Обеспечение доступным и комфортным жильем и коммунальными услугами граждан Российской Федерации"                                                                                     (Протокол заседания Муниципальной общественной комиссии по обеспечению реализации приоритетного проекта «Формирование комфортной городской среды» в Елизовском городском поселении  от 22.12.2017 №4)</t>
    </r>
  </si>
  <si>
    <t>кв.м</t>
  </si>
  <si>
    <t>Благоустройство дворовой территории МКД № 53 по ул. Ленина в городе Елизово</t>
  </si>
  <si>
    <t>Благоустройство дворовой территории МКД № 111 по ул. Завойко в городе Елизово</t>
  </si>
  <si>
    <t>Поставка светодиодных светильников мощностью 120Вт, 150Вт</t>
  </si>
  <si>
    <t>7520</t>
  </si>
  <si>
    <t>7128</t>
  </si>
  <si>
    <t>4158</t>
  </si>
  <si>
    <t>3765</t>
  </si>
  <si>
    <t>414</t>
  </si>
  <si>
    <t>1114</t>
  </si>
  <si>
    <t>528</t>
  </si>
  <si>
    <t>669</t>
  </si>
  <si>
    <t>81</t>
  </si>
  <si>
    <t>829</t>
  </si>
  <si>
    <t>954</t>
  </si>
  <si>
    <t>1520</t>
  </si>
  <si>
    <t>1375,3</t>
  </si>
  <si>
    <t>1050</t>
  </si>
  <si>
    <t>Количество реализованных проектов Елизовским городским поселением - победителем Всероссийского конкурса лучших проектов создания комфортной городской среды в малых городах и исторических поселениях, предусмотренных конкурсной заявкой победителя конкурса</t>
  </si>
  <si>
    <t>В рамках основного мероприятия государственной программы 1.F2 «Региональный проект  «Формирование комфортной городской среды». Реализация программ формирования современной городской среды.</t>
  </si>
  <si>
    <t>В рамках основного мероприятия государственной программы 1.F2 «Региональный проект  «Формирование комфортной городской среды». Реализация программ формирования современной городской среды., предусматривается реализация следующих мероприятий:</t>
  </si>
  <si>
    <t xml:space="preserve">Перечень основных мероприятий Подпрограммы 2 «Благоустройство территории Елизовского городского поселения» на 2019 год  </t>
  </si>
  <si>
    <t>Территория, прилегающая к памятнику В.И. Ленину</t>
  </si>
  <si>
    <t>Благоустройство сквера ул. Ленина 26,28</t>
  </si>
  <si>
    <t>Благоустройство тротуара по ул. Ленина вдоль МКД № 26,28 (район ЗАГСа)</t>
  </si>
  <si>
    <t xml:space="preserve"> 1.2.3</t>
  </si>
  <si>
    <t>мб сверх</t>
  </si>
  <si>
    <t>10% софин. от КБ</t>
  </si>
  <si>
    <t>1 этап благоустройство сквера у памятника Ленину В.И., в том числе:</t>
  </si>
  <si>
    <t xml:space="preserve"> - проверка достоверности сметной стоимости  проектной документации на благоустройство сквера  у памятника Ленину В.И.</t>
  </si>
  <si>
    <t xml:space="preserve"> - разработка проектной  документации на благоустройство сквера у памятника Ленину В.И.</t>
  </si>
  <si>
    <t xml:space="preserve">Адресный перечень дворовых территорий, подлежащих благоустройству                                                                                                      </t>
  </si>
  <si>
    <t xml:space="preserve">                                                                          в 2023-2024 гг. </t>
  </si>
  <si>
    <t>Основное мероприятие  2.2. "Предоставление межбюджетных трансфертов местным бюджетам на решение вопросов местного значения в сфере благоустройства территорий"</t>
  </si>
  <si>
    <t xml:space="preserve"> 2.1.1</t>
  </si>
  <si>
    <t>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</t>
  </si>
  <si>
    <t>Восстановление сетей наружного освещения на ул.Монтажников</t>
  </si>
  <si>
    <t>Восстановление сетей наружного освещения на ул.Космонавтов</t>
  </si>
  <si>
    <t>Ремонт автомобильной дороги общего пользования ул.Набережная с межквартальными проездами в городе Елизово (1-й этап)</t>
  </si>
  <si>
    <t>Выполнение работ по изготовлению скамеек городских</t>
  </si>
  <si>
    <t xml:space="preserve">Ремонт дворовой территории МКД 11 по ул.40 лет Октября в городе Елизово </t>
  </si>
  <si>
    <t>1.2.7</t>
  </si>
  <si>
    <t>120</t>
  </si>
  <si>
    <t>2.1.1.</t>
  </si>
  <si>
    <t>2.1.3.</t>
  </si>
  <si>
    <t>2.1.4.</t>
  </si>
  <si>
    <t>2.1.5.</t>
  </si>
  <si>
    <t>Восстановление покрытия на парковых пешеходных дорожках, тротуаров и площадках в парке Сказка города Елизово</t>
  </si>
  <si>
    <t>МБУ</t>
  </si>
  <si>
    <t>1.2.8</t>
  </si>
  <si>
    <t xml:space="preserve">Восстановление детских площадок </t>
  </si>
  <si>
    <t>Восстановление сетей наружного освещения в г.Елизово</t>
  </si>
  <si>
    <t>2.1.6.</t>
  </si>
  <si>
    <t>Выполнение геодезических работ по выносу границ земельного участка и осей сооружения фонтан в натуру по объекту "Благоустройство сквера Космонавтов (сквера Комсомольской славы)"</t>
  </si>
  <si>
    <t>1000</t>
  </si>
  <si>
    <t>2886</t>
  </si>
  <si>
    <t>2310</t>
  </si>
  <si>
    <t>контракт</t>
  </si>
  <si>
    <t>экономия</t>
  </si>
  <si>
    <t>230</t>
  </si>
  <si>
    <t>было предусмотрено</t>
  </si>
  <si>
    <t>Приложение 4/3 к Программе 
                                                          "Формирование современной городской среды в Елизовском городском поселении"</t>
  </si>
  <si>
    <t>Приложение 4/4 к Программе 
                                                          "Формирование современной городской среды в Елизовском городском поселении"</t>
  </si>
  <si>
    <t xml:space="preserve"> - проект благоустройства территории земельного участка</t>
  </si>
  <si>
    <t xml:space="preserve"> - выполнение работ по изготовлению скамеек городских</t>
  </si>
  <si>
    <t xml:space="preserve"> - восстановление покрытия на парковых пешеходных дорожках, тротуаров и площадках в парке Сказка города Елизово</t>
  </si>
  <si>
    <t>Ремонт автодороги по ул. Нестерова в городе Елизово</t>
  </si>
  <si>
    <t>Ремонт автомобильной дороги общего пользования "ул.Соловьева" в городе Елизово</t>
  </si>
  <si>
    <t>Ремонт проездов от ул. В.Кручины к д/с ул.Геофизическая, 11а в городе Елизово</t>
  </si>
  <si>
    <t>Ремонт проезда Липовый в городе Елизово</t>
  </si>
  <si>
    <t>114</t>
  </si>
  <si>
    <t>286</t>
  </si>
  <si>
    <t>429</t>
  </si>
  <si>
    <t>Ремонт ул. Зинаиды Ивановой в городе Елизово</t>
  </si>
  <si>
    <t>Благоустройство парка культуры и отдыха "Сказка"</t>
  </si>
  <si>
    <t>Общая площадь дворовой территории, 
кв. метров</t>
  </si>
  <si>
    <r>
      <rPr>
        <sz val="9"/>
        <rFont val="Times New Roman"/>
        <family val="1"/>
        <charset val="204"/>
      </rPr>
      <t>Приложение 4                                                                                                                             к Программе   «Формирование современной городской среды в</t>
    </r>
    <r>
      <rPr>
        <sz val="9"/>
        <color theme="1"/>
        <rFont val="Times New Roman"/>
        <family val="1"/>
        <charset val="204"/>
      </rPr>
      <t xml:space="preserve"> Елизовском городском поселении»</t>
    </r>
  </si>
  <si>
    <r>
      <t>м</t>
    </r>
    <r>
      <rPr>
        <vertAlign val="superscript"/>
        <sz val="9"/>
        <color indexed="8"/>
        <rFont val="Times New Roman"/>
        <family val="1"/>
        <charset val="204"/>
      </rPr>
      <t>2</t>
    </r>
  </si>
  <si>
    <r>
      <t>м</t>
    </r>
    <r>
      <rPr>
        <b/>
        <vertAlign val="superscript"/>
        <sz val="9"/>
        <color indexed="8"/>
        <rFont val="Times New Roman"/>
        <family val="1"/>
        <charset val="204"/>
      </rPr>
      <t>2</t>
    </r>
  </si>
  <si>
    <r>
      <t>Установка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памятного знака</t>
    </r>
    <r>
      <rPr>
        <sz val="9"/>
        <color indexed="8"/>
        <rFont val="Times New Roman"/>
        <family val="1"/>
        <charset val="204"/>
      </rPr>
      <t xml:space="preserve"> воинам советской и российской армии, погибшим в мирное время при исполнении служебнго долга</t>
    </r>
  </si>
  <si>
    <r>
      <t>Разработка проекта "Благоустройство территории архитектурной формы "Медведи"</t>
    </r>
    <r>
      <rPr>
        <b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(1 этап)</t>
    </r>
  </si>
  <si>
    <t>2.1.7.</t>
  </si>
  <si>
    <t>1120</t>
  </si>
  <si>
    <t>53</t>
  </si>
  <si>
    <t xml:space="preserve">Выполнение работ по восстановлению сетей наружного освещения тротуара по ул.Ленина в г.Елизово </t>
  </si>
  <si>
    <t>Ремонт общественной парковки по ул.Ленина (кадастровый номер 41:05:0101001:9934)</t>
  </si>
  <si>
    <t>Ремонт ул. Виктора Березина в городе Елизово</t>
  </si>
  <si>
    <t>Ремонт дворовой территории МКД 4а по ул. Школьная</t>
  </si>
  <si>
    <t>Ремонт дворовой территории МКД 32 по ул. В. Кручины</t>
  </si>
  <si>
    <t>Ремонт дворовой территории МКД 6 по ул. Школьная</t>
  </si>
  <si>
    <t xml:space="preserve"> 1.1.9</t>
  </si>
  <si>
    <t>Ремонт дворовой территории МКД 7 по ул. Школьная</t>
  </si>
  <si>
    <t>Ремонт автомобильной дороги общего пользования "ул. Котельная"</t>
  </si>
  <si>
    <t>Ремонт автомобильной дороги общего пользования "ул. Набережная" с межквартальными проездами (2-й этап)</t>
  </si>
  <si>
    <t>Ремонт тротуара по ул.Завойко от МКД 29 до МКД 63 с обустройством подходов к пешеходным переходам и автобусным остановкам</t>
  </si>
  <si>
    <t>Ремонт парковочной площадки по ул.Беринга 6</t>
  </si>
  <si>
    <t xml:space="preserve">Ремонт дворовой территории МКД 2 по ул.Красноярская </t>
  </si>
  <si>
    <t xml:space="preserve">Ремонт дворовой территории МКД 4 по ул.Красноярская </t>
  </si>
  <si>
    <t>Ремонт тротуара по ул.40 лет Октября от МКД 11 до д/с "Сказка" с обустройством подходов к пешеходным переходам и автобусным остановкам</t>
  </si>
  <si>
    <t>Ремонт тротуара по ул.В.Кручины от МКД 32 до МКД 36 с обустройством подходов к пешеходным переходам и автобусным остановкам</t>
  </si>
  <si>
    <t>Ремонт автомобильной дороги общего пользования "ул.Рабочая"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</si>
  <si>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</si>
  <si>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</si>
  <si>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</si>
  <si>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</si>
  <si>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</si>
  <si>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</si>
  <si>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</si>
  <si>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</si>
  <si>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Ремонт автомобильной дороги общего пользования "ул.Полевая"</t>
  </si>
  <si>
    <t>Ремонт автомобильной дороги общего пользования "ул Земляничная"</t>
  </si>
  <si>
    <t>1.2.9</t>
  </si>
  <si>
    <t>1.2.10</t>
  </si>
  <si>
    <t>1.2.11</t>
  </si>
  <si>
    <t>1.2.12</t>
  </si>
  <si>
    <t>1.2.13</t>
  </si>
  <si>
    <t>Ремонт проезда от ул.Магистральная к МКД 7 по ул.Красноярской, проезда ул.Красноярская к МКД 7 по ул.Красноярской</t>
  </si>
  <si>
    <t>Восстановление сетей наружного освещения на улицах: Рабочая, Корякская, Ключевская, Жупановская, Хирургическая</t>
  </si>
  <si>
    <t>Восстановление сетей наружного освещения на ул.Тверская, Поротова</t>
  </si>
  <si>
    <t>Ремонт автомобильной дороги общего пользования "пр-д от  ул.Красноярская к МКД 7 по ул.Красноярская", ремонт автомобильной дороги общего пользования "пр-д от ул.Магистральная  к МКД 7 по ул.Красноярская" (2 этап)</t>
  </si>
  <si>
    <t>ООО "Дельта"</t>
  </si>
  <si>
    <t>г.Елизово, ул.Завойко</t>
  </si>
  <si>
    <t>ООО "Торговый дом Никитин"</t>
  </si>
  <si>
    <t>Территория прилегающая к магазину "Гамбринус"</t>
  </si>
  <si>
    <t>ИП Канбаров Магамед Волиф Аглы</t>
  </si>
  <si>
    <t>Территория прилегающая к торговому киоску</t>
  </si>
  <si>
    <t>Территория прилегающая к торговому ряду</t>
  </si>
  <si>
    <t>г.Елизово, ул. В. Кручины, 12</t>
  </si>
  <si>
    <t>г.Елизово, в районе ул.Рябикова, 9 и РДК</t>
  </si>
  <si>
    <t> г.Елизово, ул.Завойко, 104</t>
  </si>
  <si>
    <t>2023г.</t>
  </si>
  <si>
    <t>Перечень мероприятий Подпрограммы 1 «Современная городская среда в Елизовском городском поселении на 2023 год</t>
  </si>
  <si>
    <t>Приложение 3/5
к  Программе «Формирование современной городской среды в Елизовском городском поселении»</t>
  </si>
  <si>
    <t>2022г.</t>
  </si>
  <si>
    <t xml:space="preserve">Перечень основных мероприятий Подпрограммы 2 «Благоустройство территории Елизовского городского поселения» на 2023 год  </t>
  </si>
  <si>
    <t>ИП Чон Светлана Андреевна</t>
  </si>
  <si>
    <t>г.Елизово, ул.Рябикова, 38</t>
  </si>
  <si>
    <t>2020-2021</t>
  </si>
  <si>
    <t>Территория прилегающая к административному зданию</t>
  </si>
  <si>
    <t>Восстановление сетей наружного освещения на ул.Осенняя, Лазо, Винокурова</t>
  </si>
  <si>
    <t>Ремонт парковочной площадки по ул. В. Кручины, 8</t>
  </si>
  <si>
    <t>7002,8</t>
  </si>
  <si>
    <t>457</t>
  </si>
  <si>
    <t>567</t>
  </si>
  <si>
    <t>193</t>
  </si>
  <si>
    <t>145</t>
  </si>
  <si>
    <t>400</t>
  </si>
  <si>
    <t>285</t>
  </si>
  <si>
    <t>62</t>
  </si>
  <si>
    <t>74</t>
  </si>
  <si>
    <t>737</t>
  </si>
  <si>
    <t>Установка скамеек городских и урн</t>
  </si>
  <si>
    <t>20 штук скамеек и 20 штук урн</t>
  </si>
  <si>
    <t>сверх софинанс.</t>
  </si>
  <si>
    <t>Восстановление сетей наружного освещения от пер. Почтовый до ул. Пограничная, ул. Инженерная, на пешеходном переходе в микрорайоне Пограничный г. Елизово</t>
  </si>
  <si>
    <t>Поставка торговых павильонов</t>
  </si>
  <si>
    <t>Выполнение работ по восстановление сетей наружного освещения в парке Сказка в г.Елизово</t>
  </si>
  <si>
    <t>Выполнение работ по багоустройству территории под установку летней концертной площадки (ракушки) в парке "Сказка" города Елизово</t>
  </si>
  <si>
    <t>Выполнение работ по установке летней концертной площадки в парке "Сказка" города Елизово</t>
  </si>
  <si>
    <t>Выполнение работ по восстановлению покрытия на парковых пешеходных дорожках, тротуаров и площадках в парке "Сказка" города Елизово</t>
  </si>
  <si>
    <t>Поставка посадочного материала (саженцев декоративных деревьев)</t>
  </si>
  <si>
    <t>Поставка спортивных уличных тренажеров для установки в парке "Сказка"</t>
  </si>
  <si>
    <t>2020 г.</t>
  </si>
  <si>
    <t>Выполнение работ по освещению входа парка Сказка</t>
  </si>
  <si>
    <t>3.1</t>
  </si>
  <si>
    <t>3.2</t>
  </si>
  <si>
    <t xml:space="preserve"> 3.7</t>
  </si>
  <si>
    <t xml:space="preserve"> 3.8</t>
  </si>
  <si>
    <t>Основное мероприятие "Ремонт и устройство уличных сетей наружного освещения, восстановление систем наружного освещения улиц, проездов, дворовых территорий, площадок, общественных территорий, парковочных зон, скверов, пешеходных аллей населенных пунктов, разработка проектной документации"</t>
  </si>
  <si>
    <t>Основное мероприятие "Устройство новых и обустройство существующих мест массового отдыха населения, парков, скверов, береговой линии бухты (пляжи, подходы к воде), благоустройство мест захоронений, разработка проектной документации"</t>
  </si>
  <si>
    <t>4.1</t>
  </si>
  <si>
    <t>4.2</t>
  </si>
  <si>
    <t>4.3</t>
  </si>
  <si>
    <t xml:space="preserve"> 5.</t>
  </si>
  <si>
    <t>5.1</t>
  </si>
  <si>
    <t>2.1.8.</t>
  </si>
  <si>
    <t>2.1.9.</t>
  </si>
  <si>
    <t>Основное мероприятие "Устройство новых и обустройство существующих детских, спортивных площадок, хозяйственных площадок с установкой малых архитектурных форм, разработка проектной документации"</t>
  </si>
  <si>
    <t xml:space="preserve">Выполнение работ по  технологическому подключению и организации  сервиса аутентификации
</t>
  </si>
  <si>
    <t xml:space="preserve">Лабораторные испытания из проб образцов с объекта "Благоустройство сквера Космонавтов (сквера Комсомольской славы)"
</t>
  </si>
  <si>
    <t>исполнение меньше чем по контракту</t>
  </si>
  <si>
    <t>из них 400,0 софин.и  218,86506 сверх софин.</t>
  </si>
  <si>
    <t>Работы бригады по подключению и отключению водоснабжения на  объекте "Благоустройство сквера Космонавтов (сквера Комсомольской славы)"</t>
  </si>
  <si>
    <t>Подключение (технологическое присоединение к централизованной системе водоотведения) объекта "Благоустройство сквера Космонавтов (сквера Комсомольской славы)"</t>
  </si>
  <si>
    <t>Подключение (технологическое присоединение к централизованной системехолодного водоснабжения) объекта "Благоустройство сквера Космонавтов (сквера Комсомольской славы)"</t>
  </si>
  <si>
    <t>2.1.2</t>
  </si>
  <si>
    <t>2.1.10.</t>
  </si>
  <si>
    <t>2.1.11.</t>
  </si>
  <si>
    <t>2.1.12.</t>
  </si>
  <si>
    <t>2.1.13.</t>
  </si>
  <si>
    <t>2.1.14.</t>
  </si>
  <si>
    <t>2.1.15.</t>
  </si>
  <si>
    <t>Изготовление защитного чехла для консервации фонтана в сквере Космонавтов (сквере Комсомольской славы)" на зимний период</t>
  </si>
  <si>
    <t>Выполнение работ по изготовлению и установке хозяйственного блока в сквере Космонавтов (сквере Комсомольской славы)"</t>
  </si>
  <si>
    <t>2.1.16.</t>
  </si>
  <si>
    <t>6</t>
  </si>
  <si>
    <t>Выполнение работ по изготовлению технического плана объекта "Благоустройство сквера Космонавтов (сквере Комсомольской славы)"</t>
  </si>
  <si>
    <t>Выполнение работ по изготовлению детского городка- МАФ №10 и его установка на объекте "Благоустройство сквера Космонавтов (сквера Комсомольской славы)"</t>
  </si>
  <si>
    <t xml:space="preserve">Выполнение работ по изготовлению и установке информационных стоек на объекте "Благоустройство сквера Космонавтов (сквера Комсомольской славы)"
</t>
  </si>
  <si>
    <t xml:space="preserve"> 3.9</t>
  </si>
  <si>
    <t>Восстановление сетей наружного освещения на улицах г. Елизово</t>
  </si>
  <si>
    <t>Ремонт переулка Сосновый</t>
  </si>
  <si>
    <t>выполнение</t>
  </si>
  <si>
    <t>Благоустройство дворовой территории МКД № 31 по ул. Завойко в городе Елизово</t>
  </si>
  <si>
    <t>Благоустройство дворовой территории МКД № 65 по ул. Завойко в городе Елизово</t>
  </si>
  <si>
    <t>Благоустройство сквера  у памятника Ленину В.И.</t>
  </si>
  <si>
    <t>Благоустройство территории, прилегающей к памятнику В.И. Ленину</t>
  </si>
  <si>
    <t>Разработка проектной документации комплексного развития набережной реки Авача в городе Елизово (1 этап. Выполнение работ по  инженерным изысканиям)</t>
  </si>
  <si>
    <t>по отчету</t>
  </si>
  <si>
    <t>разница (62,2299-38,10051)</t>
  </si>
  <si>
    <t>Выполнение работ по благоустройству дворовой территории многоквартирных домов по адресу: г.Елизово, ул. Чернышевского 9, 9А</t>
  </si>
  <si>
    <t>Внебюджетные источники (средства собственников МКД)</t>
  </si>
  <si>
    <t>внебюджетные источники</t>
  </si>
  <si>
    <t>м</t>
  </si>
  <si>
    <t>контроль!</t>
  </si>
  <si>
    <t>экономия будет перенесена на др. объект</t>
  </si>
  <si>
    <t>установлен детский игровой комплекс сумму 415,907 тыс. руб, в т.ч. 400,0 МБ и 15,907 ср-ва собственников</t>
  </si>
  <si>
    <t>8</t>
  </si>
  <si>
    <t>Выполнение работ по багоустройству парковых дорожек в парке "Сказка"</t>
  </si>
  <si>
    <t>Изготовление металлического ограждения</t>
  </si>
  <si>
    <t>Поставка хозяйственного блока контейнерного типа с отделкой МДФ</t>
  </si>
  <si>
    <t>1.1.25</t>
  </si>
  <si>
    <t>1.1.26</t>
  </si>
  <si>
    <t>факт больше  на 347,205 руб.</t>
  </si>
  <si>
    <t>добавили из Школьная 4а п.1.2.8</t>
  </si>
  <si>
    <t>добавили из В.Кручины,32 п.1.2.10</t>
  </si>
  <si>
    <t>экономия вкл.на ул.Школьная 6 п.1.2.9</t>
  </si>
  <si>
    <t>факт больше  на 126,24 руб.</t>
  </si>
  <si>
    <t>Ремонт автомобильной дороги по ул. Вилкова, ул. Новый городок в г. Елизово</t>
  </si>
  <si>
    <t>казначейство изменило разбивку!</t>
  </si>
  <si>
    <t xml:space="preserve"> - поставка торговых павильонов</t>
  </si>
  <si>
    <t xml:space="preserve"> - изготовление металлического ограждения</t>
  </si>
  <si>
    <t xml:space="preserve"> - установка летней концертной площадки в парке "Сказка" города Елизово</t>
  </si>
  <si>
    <t xml:space="preserve"> - восстановление покрытия на парковых пешеходных дорожках, тротуаров и площадках в парке "Сказка" города Елизово</t>
  </si>
  <si>
    <t xml:space="preserve"> - восстановление сетей наружного освещения в парке Сказка в г.Елизово</t>
  </si>
  <si>
    <t xml:space="preserve"> - поставка спортивных уличных тренажеров для установки в парке "Сказка"</t>
  </si>
  <si>
    <t xml:space="preserve"> - поставка посадочного материала (саженцев декоративных деревьев)</t>
  </si>
  <si>
    <t xml:space="preserve"> - выполнение работ по освещению входа парка Сказка</t>
  </si>
  <si>
    <t xml:space="preserve"> - поставка хозяйственного блока контейнерного типа с отделкой МДФ</t>
  </si>
  <si>
    <t>пог. м</t>
  </si>
  <si>
    <t>Услуги грузового транспорта для перевозки торговых павильонов</t>
  </si>
  <si>
    <t xml:space="preserve">Всего </t>
  </si>
  <si>
    <t>Разработка проектной  документации на благоустройство территорий общего пользования</t>
  </si>
  <si>
    <t>2.1.17.</t>
  </si>
  <si>
    <t>Выполнение работ по установке световых декоративных конструкций на объекте "Благоустройство сквера Космонавтов (сквера Комсомольской славы)"</t>
  </si>
  <si>
    <t xml:space="preserve">Установка памятного знака воинам Советской  и Российской Армии, погибшим в мирное время при исполнении служебного долга в Елизовского городского поселения </t>
  </si>
  <si>
    <t>сняли 1199,940</t>
  </si>
  <si>
    <t>сняли 651,08089</t>
  </si>
  <si>
    <t>Сквер «Отдыхайка»</t>
  </si>
  <si>
    <t>Сквер в  мкр. «Пограничный»</t>
  </si>
  <si>
    <t>Площадка для отдыха и занятия спортом (стадион «Строитель»)</t>
  </si>
  <si>
    <t xml:space="preserve">по итогам  голосования в 2020 году (11.12.-14.12.) </t>
  </si>
  <si>
    <t>по итогам  голосования в 2020 году (06.04.-10.04.)</t>
  </si>
  <si>
    <t xml:space="preserve"> 1.2.4</t>
  </si>
  <si>
    <t xml:space="preserve"> 1.2.5</t>
  </si>
  <si>
    <t xml:space="preserve">Выполнение работ по благоустройству дворовой территории (ремонт проезда МКД 49 по ул.Рябикова) </t>
  </si>
  <si>
    <t>2.1.18.</t>
  </si>
  <si>
    <t>в т.ч. МБ соф.- 391,10688;  МБ сверх -2,95580</t>
  </si>
  <si>
    <t xml:space="preserve"> 4.4</t>
  </si>
  <si>
    <t xml:space="preserve"> 4.4.1</t>
  </si>
  <si>
    <t xml:space="preserve"> 4.4.2</t>
  </si>
  <si>
    <t xml:space="preserve"> 4.4.3</t>
  </si>
  <si>
    <t xml:space="preserve"> 4.4.4</t>
  </si>
  <si>
    <t xml:space="preserve"> 4.4.5</t>
  </si>
  <si>
    <t xml:space="preserve"> 4.4.6</t>
  </si>
  <si>
    <t xml:space="preserve"> 4.4.7</t>
  </si>
  <si>
    <t xml:space="preserve"> 4.4.8</t>
  </si>
  <si>
    <t xml:space="preserve"> 4.4.9</t>
  </si>
  <si>
    <t xml:space="preserve"> 4.4.10</t>
  </si>
  <si>
    <t xml:space="preserve"> 4.4.11</t>
  </si>
  <si>
    <t xml:space="preserve"> 4.4.12</t>
  </si>
  <si>
    <t>Выполнение работ по изготовлению и установке информационных табличек на детских игровых площадках, расположенных на территории Елизовского городского поселения</t>
  </si>
  <si>
    <t>Ремонт парковочной площадки по ул. Ленина 40</t>
  </si>
  <si>
    <t>средства депутатов (Кривицкий)</t>
  </si>
  <si>
    <t>Выполнение работ по благоустройству ул. Инженерная г.Елизово (поставка отсева ПГС)</t>
  </si>
  <si>
    <t>9</t>
  </si>
  <si>
    <t>средства депутатов (Мамченков)</t>
  </si>
  <si>
    <t>час</t>
  </si>
  <si>
    <t>Услуги техники (для обустройства проездов к местам захоронений на муниципальном кладбище)</t>
  </si>
  <si>
    <t>усл.ед.</t>
  </si>
  <si>
    <t>1.1.27</t>
  </si>
  <si>
    <t>Ремонт тротуара по ул. Дальневосточная</t>
  </si>
  <si>
    <t>Ремонт автомобильной дороги по ул. Вилкова, ул. Шелехова, ул. Матросова, ул. Северная в г. Елизово</t>
  </si>
  <si>
    <t>Ремонт автомобильной дороги по ул. Циолковского, ул. Талалихина в г. Елизово</t>
  </si>
  <si>
    <t>Ремонт автомобильной дороги по ул. Гастелло, ул. Расковой в г. Елизово</t>
  </si>
  <si>
    <t>Ремонт автомобильной дороги по ул. Гризодубовой, ул. Осипенко в г. Елизово</t>
  </si>
  <si>
    <t>Ремонт автомобильной дороги по ул. Сухая, ул. Восточная в г. Елизово</t>
  </si>
  <si>
    <t>Ремонт автомобильной дороги по ул. Шоссейная в г. Елизово</t>
  </si>
  <si>
    <t>1.1.28</t>
  </si>
  <si>
    <t>1.1.29</t>
  </si>
  <si>
    <t>1.1.30</t>
  </si>
  <si>
    <t>1.1.31</t>
  </si>
  <si>
    <t>1.1.32</t>
  </si>
  <si>
    <t>1.1.33</t>
  </si>
  <si>
    <t>Ремонт автомобильной дороги по пер. Осиновый в г. Елизово</t>
  </si>
  <si>
    <t>услуга</t>
  </si>
  <si>
    <t>2021 г.</t>
  </si>
  <si>
    <t>Приложение 3/3
к  Программе «Формирование современной городской среды в Елизовском городском поселении»</t>
  </si>
  <si>
    <t>Приложение 4/5 к Программе 
                                                          "Формирование современной городской среды в Елизовском городском поселении"</t>
  </si>
  <si>
    <t xml:space="preserve"> 3.10</t>
  </si>
  <si>
    <t xml:space="preserve"> 3.11</t>
  </si>
  <si>
    <t>Восстановление сетей наружного освещения на лыжной базе мкр. Пограничный в городе Елизово</t>
  </si>
  <si>
    <t>оплатили</t>
  </si>
  <si>
    <t xml:space="preserve"> 1.2.6</t>
  </si>
  <si>
    <t>МБУ «Благоустройство города Елизово»</t>
  </si>
  <si>
    <t>МАУ «Елизовский городской спортивный физкультурно-оздоровительный центр»</t>
  </si>
  <si>
    <t xml:space="preserve">Ремонт автомобильной дороги общего пользования "ул Соловьева" 2 этап  в городе Елизово </t>
  </si>
  <si>
    <t xml:space="preserve">Ремонт автомобильной дороги общего пользования на подъездах к МКД 4 по ул. Авачинской в городе Елизово </t>
  </si>
  <si>
    <t xml:space="preserve">Ремонт автомобильной дороги общего пользования по ул. Котельной 2 этап  в городе Елизово </t>
  </si>
  <si>
    <t xml:space="preserve">Ремонт дворовой территории МКД 23  по ул.В. Кручины  в городе Елизово </t>
  </si>
  <si>
    <t>5 993,26000</t>
  </si>
  <si>
    <t>5 327,93899</t>
  </si>
  <si>
    <t>Благоустройство площадки для отдыха и занятия спортом (стадион "Строитель") 
(1 этап)</t>
  </si>
  <si>
    <t>Благоустройство сквера "Отдыхайка" (1 этап)</t>
  </si>
  <si>
    <t>Благоустройство сквера в мкр. "Пограничный" (1 этап)</t>
  </si>
  <si>
    <t>Ремонт и устройство уличных сетей наружного освещения, восстановление систем наружного освещения улиц, проездов, дворовых территорий, площадок, общественных территорий, парковочных зон, скверов, пешеходных аллей населенных пунктов, разработка проектной документации</t>
  </si>
  <si>
    <t>Основное мероприятие Устройство новых и обустройство существующих мест массового отдыха населения, парков, скверов, береговой линии бухты (пляжи, подходы к воде), благоустройство мест захоронений, разработка проектной документации</t>
  </si>
  <si>
    <t xml:space="preserve"> 2.3.1</t>
  </si>
  <si>
    <t xml:space="preserve"> 2.3.2</t>
  </si>
  <si>
    <t xml:space="preserve"> 2.3.3</t>
  </si>
  <si>
    <t>Устройство новых и обустройство существующих детских, спортивных площадок, хозяйственных площадок с установкой малых архитектурных форм, разработка проектной документации</t>
  </si>
  <si>
    <t xml:space="preserve"> 2.2.1</t>
  </si>
  <si>
    <t>Выполнение работ по восстановлению сетей наружного освещения на ул. Связи</t>
  </si>
  <si>
    <t xml:space="preserve"> 2.2.2</t>
  </si>
  <si>
    <t>УЖКХ</t>
  </si>
  <si>
    <t>Архит</t>
  </si>
  <si>
    <r>
      <t>Перечень мероприятий Подпрограммы 1 «Современная городская среда в Елизовском городском поселении</t>
    </r>
    <r>
      <rPr>
        <b/>
        <sz val="11"/>
        <rFont val="Calibri"/>
        <family val="2"/>
        <charset val="204"/>
      </rPr>
      <t>»</t>
    </r>
    <r>
      <rPr>
        <b/>
        <sz val="11"/>
        <rFont val="Times New Roman"/>
        <family val="1"/>
        <charset val="204"/>
      </rPr>
      <t xml:space="preserve"> на 2021 год</t>
    </r>
  </si>
  <si>
    <t>г. Елизово, ул. Лесная 10/3</t>
  </si>
  <si>
    <t>г. Елизово, ул. Завойко 102</t>
  </si>
  <si>
    <t>г. Елизово, ул. Уральская 1</t>
  </si>
  <si>
    <t>г. Елизово, ул. Деркачева 10</t>
  </si>
  <si>
    <t>г. Елизово, ул. Мячина 22</t>
  </si>
  <si>
    <t>г. Елизово, ул. Рябикова 53</t>
  </si>
  <si>
    <t xml:space="preserve">Благоустройство парка в мкр."Военный городок "(26 км) </t>
  </si>
  <si>
    <t>Местный бюджет 1</t>
  </si>
  <si>
    <t>Местный бюджет 2</t>
  </si>
  <si>
    <r>
      <rPr>
        <sz val="12"/>
        <rFont val="Times New Roman"/>
        <family val="1"/>
        <charset val="204"/>
      </rPr>
      <t xml:space="preserve">Приложение 1 </t>
    </r>
    <r>
      <rPr>
        <sz val="12"/>
        <color indexed="8"/>
        <rFont val="Times New Roman"/>
        <family val="1"/>
        <charset val="204"/>
      </rPr>
      <t xml:space="preserve">
к  Программе «Формирование современной городской среды в Елизовском городском поселении»</t>
    </r>
  </si>
  <si>
    <t>4724,7</t>
  </si>
  <si>
    <t>262</t>
  </si>
  <si>
    <t>Ремонт тротуара по ул. Дальневосточная на подходах к строящемуся детскому саду</t>
  </si>
  <si>
    <t>Ремонт тротуара по ул. Завойко МКД№ 122 на подходах к средней школе №4</t>
  </si>
  <si>
    <t xml:space="preserve">Местный бюджет </t>
  </si>
  <si>
    <t xml:space="preserve">местный бюджет </t>
  </si>
  <si>
    <t>комплект</t>
  </si>
  <si>
    <t xml:space="preserve">Приобретение атрибутики для использования волонтерами для проведения проекта "Формирование комфортной городской среды" </t>
  </si>
  <si>
    <t>Перечень мероприятий Подпрограммы 1 «Современная городская среда в Елизовском городском поселении» на 2020 год</t>
  </si>
  <si>
    <t xml:space="preserve"> 2.4</t>
  </si>
  <si>
    <t xml:space="preserve"> 2.4.1</t>
  </si>
  <si>
    <t>МАУК КДЦ "Гейзер"</t>
  </si>
  <si>
    <t xml:space="preserve"> 2.4.2</t>
  </si>
  <si>
    <t xml:space="preserve">по итогам  голосования в 2021 году (26.04.-30.05.) </t>
  </si>
  <si>
    <t xml:space="preserve"> Сквер Дружбы между г.Елизово и г.Сяри</t>
  </si>
  <si>
    <t xml:space="preserve"> Сквер мкр. «34 км» мкр. «Северный»</t>
  </si>
  <si>
    <t xml:space="preserve"> Сквер ул. Ленина 33, 37</t>
  </si>
  <si>
    <t>Восстановление сетей наружного освещения по ул. Лесная в мкр. Пограничный в г.Елизово</t>
  </si>
  <si>
    <t>Восстановление сетей наружного освещения по ул.Механизации в г.Елизово</t>
  </si>
  <si>
    <t xml:space="preserve"> 2.2.3</t>
  </si>
  <si>
    <t xml:space="preserve"> 2.2.4</t>
  </si>
  <si>
    <t xml:space="preserve"> 2.2.5</t>
  </si>
  <si>
    <t xml:space="preserve"> -  благоустройство территории под установку летней концертной площадки (ракушки) в парке "Сказка" города Елизово</t>
  </si>
  <si>
    <t xml:space="preserve"> -  благоустройство парковых дорожек в парке "Сказка"</t>
  </si>
  <si>
    <t>Приложение 4/6 к Программе 
                                                          "Формирование современной городской среды в Елизовском городском поселении"</t>
  </si>
  <si>
    <t xml:space="preserve">Перечень основных мероприятий Подпрограммы 2 «Благоустройство территории Елизовского городского поселения» на 2024 год  </t>
  </si>
  <si>
    <t>2024г.</t>
  </si>
  <si>
    <t>Перечень мероприятий Подпрограммы 1 «Современная городская среда в Елизовском городском поселении на 2024 год</t>
  </si>
  <si>
    <t>Благоустройство дворовой территории МКД № 63 по ул. Завойко в городе Елизово</t>
  </si>
  <si>
    <t>Благоустройство сквера  Дружбы между г.Елизово и г.Сяри</t>
  </si>
  <si>
    <r>
      <t xml:space="preserve">Благоустройство сквера 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34 км</t>
    </r>
    <r>
      <rPr>
        <sz val="10"/>
        <color theme="1"/>
        <rFont val="Calibri"/>
        <family val="2"/>
        <charset val="204"/>
      </rPr>
      <t>»</t>
    </r>
    <r>
      <rPr>
        <sz val="10"/>
        <color theme="1"/>
        <rFont val="Times New Roman"/>
        <family val="1"/>
        <charset val="204"/>
      </rPr>
      <t xml:space="preserve"> мкр. </t>
    </r>
    <r>
      <rPr>
        <sz val="10"/>
        <color theme="1"/>
        <rFont val="Calibri"/>
        <family val="2"/>
        <charset val="204"/>
      </rPr>
      <t>«</t>
    </r>
    <r>
      <rPr>
        <sz val="10"/>
        <color theme="1"/>
        <rFont val="Times New Roman"/>
        <family val="1"/>
        <charset val="204"/>
      </rPr>
      <t>Северный</t>
    </r>
    <r>
      <rPr>
        <sz val="10"/>
        <color theme="1"/>
        <rFont val="Calibri"/>
        <family val="2"/>
        <charset val="204"/>
      </rPr>
      <t>»</t>
    </r>
  </si>
  <si>
    <t>104</t>
  </si>
  <si>
    <t>730</t>
  </si>
  <si>
    <t>401</t>
  </si>
  <si>
    <t>2809</t>
  </si>
  <si>
    <t xml:space="preserve">  в 2018-2022 гг., 2023г.</t>
  </si>
  <si>
    <t xml:space="preserve"> Межквартальный проезд от пер. Тимирязевский д.7 до пер. Радужный д.6</t>
  </si>
  <si>
    <t xml:space="preserve"> Сквер «Тимирязевский»</t>
  </si>
  <si>
    <t xml:space="preserve"> Сквер ул. Ленина 34, 36</t>
  </si>
  <si>
    <t>Устройство новых и обустройство существующих мест массового отдыха населения, парков, скверов, береговой линии бухты (пляжи, подходы к воде), благоустройство мест захоронений, разработка проектной документации</t>
  </si>
  <si>
    <t xml:space="preserve">Ремонт тротуара по ул. Рябикова МКД№ 51 </t>
  </si>
  <si>
    <t>экономия +наказы 300,0 Мамченко</t>
  </si>
  <si>
    <t>Благоустройство сквера района дома № 112 по ул. Завойко</t>
  </si>
  <si>
    <t>в бюджете без МБУ</t>
  </si>
  <si>
    <t xml:space="preserve">Ремонт дворовой территории МКД  в городе Елизово </t>
  </si>
  <si>
    <t>Без МБУ</t>
  </si>
  <si>
    <t>Выполнение работ по ремонту автомобильной дороги по улице Рабочей Смены в городе Елизово</t>
  </si>
  <si>
    <t>проверка ФБ и КБ</t>
  </si>
  <si>
    <t>Приложение 3/6
к  Программе «Формирование современной городской среды в Елизовском городском поселении»</t>
  </si>
  <si>
    <t xml:space="preserve">Разработка проектно-сметной документации
по благоустройству территории «Городской парк отдыха у р. Половинка в Елизовском городском поселении Камчатского края»
</t>
  </si>
  <si>
    <t>НМЦК</t>
  </si>
  <si>
    <t>Устройство скейт-площадки в парке культуры и отдыха"Сказка" г.Елизово"</t>
  </si>
  <si>
    <t>Восстановление детских площадок (оборудование для детской площадки)</t>
  </si>
  <si>
    <t>Выполнение работ по восстановлению сетей наружного освещения в мкр.Пограничный (район ул. Лесная)</t>
  </si>
  <si>
    <t>Восстановление сетей наружного освещения по ул.Маяковского в г.Елизово</t>
  </si>
  <si>
    <t>Восстановление сетей наружного освещения района по ул.Лесная в г.Елизово</t>
  </si>
  <si>
    <t xml:space="preserve"> 2.2.6</t>
  </si>
  <si>
    <t>2.2.7</t>
  </si>
  <si>
    <t>Выполнение работ по восстановлению сетей наружного освещения по улицам Расковой, Гастелло, Сухой в г.Елизово</t>
  </si>
  <si>
    <t>2022 г.</t>
  </si>
  <si>
    <t>Поставка товара (качели)</t>
  </si>
  <si>
    <t xml:space="preserve"> 2.2.8</t>
  </si>
  <si>
    <t>Выполнение работ по восстановлению сетей наружного освещения Новый городок</t>
  </si>
  <si>
    <t xml:space="preserve"> 2.2.9</t>
  </si>
  <si>
    <t>(добавили)</t>
  </si>
  <si>
    <t>Проведение государственной экспертизы проектной документации в части проверки достоверности определения сметной стоимости</t>
  </si>
  <si>
    <t>Благоустройство территорий по итогам голосования в рамках проекта "Решаем вместе"</t>
  </si>
  <si>
    <t xml:space="preserve"> 3.2.</t>
  </si>
  <si>
    <t xml:space="preserve"> 3.3.</t>
  </si>
  <si>
    <t xml:space="preserve"> 3.4.</t>
  </si>
  <si>
    <t>Устройство спортивной площадки ул. Красноярская д.2а</t>
  </si>
  <si>
    <t>Комплексное благоустройство сквера «Отдыхайка»</t>
  </si>
  <si>
    <t>Устройство новой беговой дорожки на стадионе «Строитель»</t>
  </si>
  <si>
    <t>Благоустройство сквера в микрорайоне «Пограничный»</t>
  </si>
  <si>
    <t>Приобретение оборудования для скейт-площадки в микрорайоне "26 километр"</t>
  </si>
  <si>
    <t xml:space="preserve"> 2.3.4</t>
  </si>
  <si>
    <t>Поставка автосамосвала для нужд МБУ "Благоустройство города Елизово"</t>
  </si>
  <si>
    <t>маш.час</t>
  </si>
  <si>
    <t>397</t>
  </si>
  <si>
    <t>57</t>
  </si>
  <si>
    <t>539</t>
  </si>
  <si>
    <t>1087,78</t>
  </si>
  <si>
    <t>354</t>
  </si>
  <si>
    <t>34</t>
  </si>
  <si>
    <t>1863,9</t>
  </si>
  <si>
    <t xml:space="preserve"> 6.</t>
  </si>
  <si>
    <t>Решаем вместе</t>
  </si>
  <si>
    <t>*Местный бюджет 2 - Благоустройство территорий в рамках проекта "Решаем вместе"</t>
  </si>
  <si>
    <t>Местный бюджет 2*</t>
  </si>
  <si>
    <t>247,5</t>
  </si>
  <si>
    <t>1164,2</t>
  </si>
  <si>
    <t>Ремонт тротуара вдоль автомобильной дороги ул. Ленина в городе Елизово</t>
  </si>
  <si>
    <t>0</t>
  </si>
  <si>
    <t>Ремонт автомобильных дорог общего пользования ул. Мичурина, ул. Казахская в городе Елизово</t>
  </si>
  <si>
    <t>2507,52</t>
  </si>
  <si>
    <t>куб.метр</t>
  </si>
  <si>
    <t>Выполнение работ по ремонту улично-дорожной сети в Елизовском городском поселении (приведение в нормативное состояние автомобильных дорог, межквартальных проездов, парковок  и тротуаров  в городе Елизово в соответствии с требованиями ГОСТ Р 50597-2017 и  СП 59.13330.2016)</t>
  </si>
  <si>
    <t>Благоустройство территории филиала детской поликлиники ГБУЗ КК "Елизовская районная больница" по адресу: г.Елизово, ул. Школьная,3</t>
  </si>
  <si>
    <t>г. Елизово, ул. Дальневосточная 14</t>
  </si>
  <si>
    <t>г. Елизово, пер. Радужный 4</t>
  </si>
  <si>
    <t>г. Елизово, ул. Лесная 3</t>
  </si>
  <si>
    <r>
      <t xml:space="preserve">Адресный перечень дворовых территорий сформирован </t>
    </r>
    <r>
      <rPr>
        <b/>
        <sz val="11"/>
        <color theme="1"/>
        <rFont val="Times New Roman"/>
        <family val="1"/>
        <charset val="204"/>
      </rPr>
      <t xml:space="preserve">после вступления </t>
    </r>
    <r>
      <rPr>
        <sz val="11"/>
        <color theme="1"/>
        <rFont val="Times New Roman"/>
        <family val="1"/>
        <charset val="204"/>
      </rPr>
      <t>в силу постановления Правительства Российской Федерации от 9 февраля 2019 года № 106 "О внесении изменений в приложение №15 к государственной программе Российской Федерации "Обеспечение доступным и комфортным жильем и коммунальными услугами граждан Российской Федерации".                                                                                            (Протоколы заседания Муниципальной общественной комиссии по обеспечению реализации приоритетного проекта «Формирование комфортной городской среды» в Елизовском городском поселении  от 04.12.2019 №8, от 30.03.2021 №3, от 03.02.2022 №1)</t>
    </r>
  </si>
  <si>
    <t>269</t>
  </si>
  <si>
    <t>326</t>
  </si>
  <si>
    <t>185</t>
  </si>
  <si>
    <t>17</t>
  </si>
  <si>
    <t xml:space="preserve"> 3.1.1</t>
  </si>
  <si>
    <t xml:space="preserve"> 3.1.2</t>
  </si>
  <si>
    <t xml:space="preserve"> 3.1.3</t>
  </si>
  <si>
    <t xml:space="preserve"> 3.1.4</t>
  </si>
  <si>
    <t xml:space="preserve"> 3.1.5</t>
  </si>
  <si>
    <t xml:space="preserve"> 3.1.6</t>
  </si>
  <si>
    <t xml:space="preserve"> 3.1.7</t>
  </si>
  <si>
    <t xml:space="preserve"> 3.1.8</t>
  </si>
  <si>
    <t xml:space="preserve"> 3.1.9</t>
  </si>
  <si>
    <t xml:space="preserve"> 3.1.10</t>
  </si>
  <si>
    <t>2.5</t>
  </si>
  <si>
    <t>Изготовление Топиарных фигур</t>
  </si>
  <si>
    <t xml:space="preserve">Ремонт дворовой территории МКД 25/2 по ул.В.Кручины в городе Елизово </t>
  </si>
  <si>
    <t>Ремонт тротуара по ул. Завойко МКД № 122 на подходах
к средней школе № 4</t>
  </si>
  <si>
    <t>Ремонт проезда к МКД 63 по ул. Завойко</t>
  </si>
  <si>
    <t>Ремонт проезда к МКД 65 по ул. Завойко</t>
  </si>
  <si>
    <t>Количество благоустроенных дворовых территорий в части выполнения Плана социального развития центров экономического роста Камчатского края. Реализация проекта «1000 дворов».</t>
  </si>
  <si>
    <t>70</t>
  </si>
  <si>
    <t>72</t>
  </si>
  <si>
    <t>Благоустройство территории «Городской парк отдыха у р. Половинка в Елизовском городском поселении Камчатского края"</t>
  </si>
  <si>
    <t xml:space="preserve"> 2.3.</t>
  </si>
  <si>
    <t>Оказание услуг по проведению строительного контроля над благоустройством территории «Городской парк отдыха у р. Половинка в Елизовском городском поселении Камчатского края»</t>
  </si>
  <si>
    <t xml:space="preserve"> 2.4.</t>
  </si>
  <si>
    <t xml:space="preserve">Корректирорвка Раздела 11 «Смета на строительство» проектно-сметной документации в части дкеления на этапы по объекту: «Городской парк отдыха у р. Половинка в Елизовском городском поселении Камчатского края»
</t>
  </si>
  <si>
    <t>МКУ "Департамент строительства города Елизово"</t>
  </si>
  <si>
    <t xml:space="preserve">по итогам  голосования (выбор территории) в 2021 году (26.04.-30.05.) и голосования (выбор дизайн-проекта) в 2022 году (15.04.-30.05.) </t>
  </si>
  <si>
    <t>МАУ "ЕГСФОЦ"</t>
  </si>
  <si>
    <t>2.6</t>
  </si>
  <si>
    <t>контракты</t>
  </si>
  <si>
    <t>Устройство тротуара  к МКД 63 по ул. Завойко</t>
  </si>
  <si>
    <t xml:space="preserve">«Благоустройство дворовых территорий» </t>
  </si>
  <si>
    <t xml:space="preserve">Перечень основных мероприятий Подпрограммы 2 «Благоустройство территории Елизовского городского поселения» на 2025 год  </t>
  </si>
  <si>
    <t xml:space="preserve"> 2.2.7</t>
  </si>
  <si>
    <t xml:space="preserve"> 2.2.10</t>
  </si>
  <si>
    <t xml:space="preserve"> 2.2.11</t>
  </si>
  <si>
    <t xml:space="preserve"> 2.2.12</t>
  </si>
  <si>
    <t xml:space="preserve"> 2.2.13</t>
  </si>
  <si>
    <t xml:space="preserve"> 2.2.14</t>
  </si>
  <si>
    <t xml:space="preserve"> 2.2.15</t>
  </si>
  <si>
    <t xml:space="preserve"> 2.2.16</t>
  </si>
  <si>
    <t xml:space="preserve"> 2.2.17</t>
  </si>
  <si>
    <t>Благоустройство объекта "Парк "Сказка"</t>
  </si>
  <si>
    <t>Замена люка колодца на автомобильной дороге общего пользования ул. В.Кручины в г.Елизово</t>
  </si>
  <si>
    <t>Выполнение работ по восстановлению сетей наружного освещения на тротуаре по ул. Лесная в мкр. Пограничный г. Елизово</t>
  </si>
  <si>
    <t>Выполнение работ по восстановлению сетей наружного освещения по ул. Белорусская, г. Елизово</t>
  </si>
  <si>
    <t>Осуществление технологического присоединения к электрическим сетям линии наружного освещения по адресу: г.Елизово, ул. Монтажников</t>
  </si>
  <si>
    <t>Осуществление технологического присоединения к электрическим сетям линии наружного освещения по адресу: г.Елизово, ул. Санаторная</t>
  </si>
  <si>
    <t>Осуществление технологического присоединения к электрическим сетям линии наружного освещения по адресу: г.Елизово, ул. Чкалова</t>
  </si>
  <si>
    <t>Осуществление технологического присоединения к электрическим сетям линии наружного освещения по адресу: г.Елизово, ул. Горького</t>
  </si>
  <si>
    <t>Выполнение работ по подключеению сетей наружного освещения к распределительным сетям на улицах города Елизово</t>
  </si>
  <si>
    <t>Осуществление технологического присоединения к электрическим сетям линии наружного освещения по адресу: г.Елизово, ул. Рабочей смены</t>
  </si>
  <si>
    <t>Выполнение работ по восстановлению  освещения детской площадки по ул. Попова, г. Елизово</t>
  </si>
  <si>
    <t>Осуществление технологического присоединения к электрическим сетям линии наружного освещения по адресу: г.Елизово, ул. Тверская</t>
  </si>
  <si>
    <t>Осуществление технологического присоединения к электрическим сетям линии наружного освещения по адресу:г.Елизово, ул. Винокурова</t>
  </si>
  <si>
    <t>Осуществление технологического присоединения к электрическим сетям линии наружного освещения по адресу:г.Елизово, ул. Осенняя</t>
  </si>
  <si>
    <t>Осуществление технологического присоединения к электрическим сетям линии наружного освещения по адресу:г.Елизово, ул. Поротова</t>
  </si>
  <si>
    <t>Осуществление технологического присоединения к электрическим сетям линии наружного освещения по адресу:г.Елизово, ул. Маяковская</t>
  </si>
  <si>
    <t>Ремонт линии наружного очвещения от ТП-20 (по ул.Взлетная) до ул.Звездная (прокладка резервной воздушной линии СИП)</t>
  </si>
  <si>
    <t>Выполнение работ по подключению сетей наружного освещения к распределительным электросетям на улицах г. Елизово (мкр. 5-я стр., ул. Попова)</t>
  </si>
  <si>
    <t>Межквартальный проезд от пер. Тимирязевский д.7 до пер. Радужный д.6</t>
  </si>
  <si>
    <t>Сквер «Тимирязевский»</t>
  </si>
  <si>
    <r>
      <t xml:space="preserve">«Благоустройство дворовых территорий»
 </t>
    </r>
    <r>
      <rPr>
        <sz val="10"/>
        <color theme="1"/>
        <rFont val="Times New Roman"/>
        <family val="1"/>
        <charset val="204"/>
      </rPr>
      <t>(МКД № 19 по ул. Завойко в городе Елизово)</t>
    </r>
  </si>
  <si>
    <r>
      <t xml:space="preserve">Благоустройство территорий общего пользования, в том числе:
</t>
    </r>
    <r>
      <rPr>
        <sz val="10"/>
        <color theme="1"/>
        <rFont val="Times New Roman"/>
        <family val="1"/>
        <charset val="204"/>
      </rPr>
      <t>- сквер ул. Ленина 33,37 (1-й этап благоустройства);
- межквартальный проезд от пер.Тимирязевский д.7 до пер. Радужный д.6;
- сквер "Тимирязевский" (1-й этап благоустройства);
- сквер ул. Ленина 34,36  (1-й этап благоустройства) .</t>
    </r>
  </si>
  <si>
    <t>УЖКХ (с уч. дорог)</t>
  </si>
  <si>
    <t xml:space="preserve"> 2.2.18</t>
  </si>
  <si>
    <t xml:space="preserve">Основное мероприятие  «Предоставление иных межбюджетных трансфертов местным бюджетам из краевого бюджета на реализацию отдельных мероприятий Подпрограммы 2 в части выполнения мероприятий Плана социального развития центров экономического роста Камчатского края». Реализация проекта «1000 дворов».
</t>
  </si>
  <si>
    <t>Управление жилищно-коммунального хозяйства,
МАУ "ЕГСФОЦ"</t>
  </si>
  <si>
    <t xml:space="preserve">Управление жилищно-коммунального хозяйства
</t>
  </si>
  <si>
    <t>Приложение 4/7 к Программе 
                                                          "Формирование современной городской среды в Елизовском городском поселении"</t>
  </si>
  <si>
    <t xml:space="preserve"> 2.2.19</t>
  </si>
  <si>
    <t xml:space="preserve"> 2.2.20</t>
  </si>
  <si>
    <t xml:space="preserve"> 2.2.21</t>
  </si>
  <si>
    <t>Выполнение работ по восстановлению сетей наружного освещения от здания Библиотеки №3 (ул. Магистральная, д. 192) до ул. Южная, д. 34 г. Елизово</t>
  </si>
  <si>
    <t>Выполнение работ по восстановлению сетей наружного освещения по ул. Котельная, ул. Циолковского г. Елизово</t>
  </si>
  <si>
    <t>Выполнение работ по восстановлению сетей наружного освещения по ул. Нестерова, ул. Талалихина г. Елизово</t>
  </si>
  <si>
    <t>Выполнение работ по восстановлению сетей наружного освещения</t>
  </si>
  <si>
    <t>2025г.</t>
  </si>
  <si>
    <t>8450,84</t>
  </si>
  <si>
    <t>1273,78</t>
  </si>
  <si>
    <t>340,43</t>
  </si>
  <si>
    <t>88,8</t>
  </si>
  <si>
    <t>41</t>
  </si>
  <si>
    <t>1443,9</t>
  </si>
  <si>
    <t>2023 г.</t>
  </si>
  <si>
    <t>2024 г.</t>
  </si>
  <si>
    <t>Ремонт тротуара вдоль МКД 53 по ул. Рябикова  в городе Елизово ( было скрыто)</t>
  </si>
  <si>
    <t>Ремонт автомобильной дороги ул. Береговая</t>
  </si>
  <si>
    <t>119,3</t>
  </si>
  <si>
    <t>1.2.1.</t>
  </si>
  <si>
    <t>0,00</t>
  </si>
  <si>
    <t>1.1.10.</t>
  </si>
  <si>
    <t>1.1.11.</t>
  </si>
  <si>
    <t>Изготовление топиарных фигур</t>
  </si>
  <si>
    <t xml:space="preserve"> 2.5.</t>
  </si>
  <si>
    <t xml:space="preserve"> 2.6.</t>
  </si>
  <si>
    <t xml:space="preserve"> 2.7.</t>
  </si>
  <si>
    <t>Выполнение работ по проведению авторского надзора за благоустройством территории «Городской парк отдыха у р. Половинка в Елизовском городском поселении Камчатского края»</t>
  </si>
  <si>
    <t>Проведение работ по установке камер видеонаблюдения с предоставлением канала доступа и интернета сроком на 2 года в г.Елизово</t>
  </si>
  <si>
    <t>Выполнение работ по разработке проектно-сметной документации на замену сетей водоснабжения с увеличением диаметра условного прохода до d 30 0мм</t>
  </si>
  <si>
    <t xml:space="preserve">Благоустройство дворовых территорий: 
</t>
  </si>
  <si>
    <t xml:space="preserve">ул. Красноармейская, 2 </t>
  </si>
  <si>
    <t>ул. Рябикова, 59</t>
  </si>
  <si>
    <t xml:space="preserve">ул. Гришечко, 5 </t>
  </si>
  <si>
    <t xml:space="preserve">пер. Радужный, 8 </t>
  </si>
  <si>
    <t>ул.Рябикова 16- ул. Набережная 9</t>
  </si>
  <si>
    <t xml:space="preserve">ул. Лесная, 1 </t>
  </si>
  <si>
    <t>ул. В. Кручины,23</t>
  </si>
  <si>
    <t>ул. Ленина, 33</t>
  </si>
  <si>
    <t>в т.ч. УЖКХ</t>
  </si>
  <si>
    <t>культ.ФОЦ</t>
  </si>
  <si>
    <t xml:space="preserve"> 2.8.</t>
  </si>
  <si>
    <t xml:space="preserve"> 2.9.</t>
  </si>
  <si>
    <t>Поставка баннера</t>
  </si>
  <si>
    <t>Осуществление технологического присоединения к электрическим сетям</t>
  </si>
  <si>
    <t xml:space="preserve">ул. Завойко ,63,65 </t>
  </si>
  <si>
    <t xml:space="preserve">ул. Авачинская, 4 </t>
  </si>
  <si>
    <t>Перечень мероприятий Подпрограммы 1 «Современная городская среда в Елизовском городском поселении на 2025 год</t>
  </si>
  <si>
    <t>2018-2025гг</t>
  </si>
  <si>
    <t>2019-2025гг</t>
  </si>
  <si>
    <t>2018-2019гг</t>
  </si>
  <si>
    <t>м3</t>
  </si>
  <si>
    <t>Приложение 3/7
к  Программе «Формирование современной городской среды в Елизовском городском поселении»</t>
  </si>
  <si>
    <t xml:space="preserve"> 1.2.1.</t>
  </si>
  <si>
    <t xml:space="preserve"> 1.2.3.</t>
  </si>
</sst>
</file>

<file path=xl/styles.xml><?xml version="1.0" encoding="utf-8"?>
<styleSheet xmlns="http://schemas.openxmlformats.org/spreadsheetml/2006/main">
  <numFmts count="15">
    <numFmt numFmtId="164" formatCode="#,##0.00000"/>
    <numFmt numFmtId="165" formatCode="0.0"/>
    <numFmt numFmtId="166" formatCode="0.0000"/>
    <numFmt numFmtId="167" formatCode="#,##0.0"/>
    <numFmt numFmtId="168" formatCode="0.00000"/>
    <numFmt numFmtId="169" formatCode="#,##0.000_р_."/>
    <numFmt numFmtId="170" formatCode="0.000"/>
    <numFmt numFmtId="171" formatCode="#,##0.000000000000000"/>
    <numFmt numFmtId="172" formatCode="#,##0.0000"/>
    <numFmt numFmtId="173" formatCode="0.0000000000"/>
    <numFmt numFmtId="174" formatCode="#,##0.000000"/>
    <numFmt numFmtId="175" formatCode="#,##0.00000000"/>
    <numFmt numFmtId="176" formatCode="#,##0.000"/>
    <numFmt numFmtId="177" formatCode="0.0000000000000"/>
    <numFmt numFmtId="178" formatCode="0.000000000000000"/>
  </numFmts>
  <fonts count="8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b/>
      <vertAlign val="superscript"/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8"/>
      <color theme="0"/>
      <name val="Times New Roman"/>
      <family val="1"/>
      <charset val="204"/>
    </font>
    <font>
      <b/>
      <sz val="8"/>
      <color theme="0"/>
      <name val="Calibri"/>
      <family val="2"/>
      <charset val="204"/>
      <scheme val="minor"/>
    </font>
    <font>
      <b/>
      <sz val="9"/>
      <color theme="0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7" fillId="0" borderId="0"/>
  </cellStyleXfs>
  <cellXfs count="1312">
    <xf numFmtId="0" fontId="0" fillId="0" borderId="0" xfId="0"/>
    <xf numFmtId="0" fontId="1" fillId="0" borderId="0" xfId="0" applyFont="1"/>
    <xf numFmtId="164" fontId="7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3" fillId="0" borderId="0" xfId="0" applyFont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8" fontId="13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8" fillId="0" borderId="3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6" fontId="7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168" fontId="13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0" fontId="15" fillId="0" borderId="0" xfId="0" applyFont="1"/>
    <xf numFmtId="0" fontId="5" fillId="0" borderId="0" xfId="0" applyFont="1" applyAlignment="1">
      <alignment vertical="center" wrapText="1"/>
    </xf>
    <xf numFmtId="165" fontId="11" fillId="0" borderId="3" xfId="0" applyNumberFormat="1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left" vertical="center"/>
    </xf>
    <xf numFmtId="165" fontId="5" fillId="2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165" fontId="5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5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25" fillId="0" borderId="3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7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4" fontId="7" fillId="3" borderId="3" xfId="0" applyNumberFormat="1" applyFont="1" applyFill="1" applyBorder="1" applyAlignment="1">
      <alignment horizontal="center" vertical="center"/>
    </xf>
    <xf numFmtId="167" fontId="8" fillId="0" borderId="0" xfId="0" applyNumberFormat="1" applyFont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168" fontId="7" fillId="0" borderId="3" xfId="0" applyNumberFormat="1" applyFont="1" applyFill="1" applyBorder="1" applyAlignment="1">
      <alignment horizontal="center" vertical="center"/>
    </xf>
    <xf numFmtId="168" fontId="7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168" fontId="8" fillId="3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8" fontId="12" fillId="2" borderId="3" xfId="0" applyNumberFormat="1" applyFont="1" applyFill="1" applyBorder="1" applyAlignment="1">
      <alignment horizontal="center" vertical="center"/>
    </xf>
    <xf numFmtId="168" fontId="12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68" fontId="8" fillId="0" borderId="3" xfId="0" applyNumberFormat="1" applyFont="1" applyFill="1" applyBorder="1" applyAlignment="1">
      <alignment horizontal="center" vertical="center"/>
    </xf>
    <xf numFmtId="168" fontId="8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8" fontId="7" fillId="3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168" fontId="8" fillId="0" borderId="0" xfId="0" applyNumberFormat="1" applyFont="1"/>
    <xf numFmtId="164" fontId="11" fillId="2" borderId="3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4" fontId="29" fillId="0" borderId="17" xfId="0" applyNumberFormat="1" applyFont="1" applyBorder="1" applyAlignment="1">
      <alignment horizontal="center" wrapText="1"/>
    </xf>
    <xf numFmtId="4" fontId="29" fillId="0" borderId="18" xfId="0" applyNumberFormat="1" applyFont="1" applyBorder="1" applyAlignment="1">
      <alignment horizontal="center" wrapText="1"/>
    </xf>
    <xf numFmtId="4" fontId="30" fillId="0" borderId="18" xfId="0" applyNumberFormat="1" applyFont="1" applyBorder="1" applyAlignment="1">
      <alignment horizontal="center" wrapText="1"/>
    </xf>
    <xf numFmtId="4" fontId="31" fillId="0" borderId="19" xfId="0" applyNumberFormat="1" applyFont="1" applyBorder="1" applyAlignment="1">
      <alignment horizontal="center" wrapText="1"/>
    </xf>
    <xf numFmtId="4" fontId="31" fillId="0" borderId="20" xfId="0" applyNumberFormat="1" applyFont="1" applyBorder="1" applyAlignment="1">
      <alignment horizontal="center" wrapText="1"/>
    </xf>
    <xf numFmtId="0" fontId="31" fillId="0" borderId="20" xfId="0" applyFont="1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justify" vertical="top" wrapText="1"/>
    </xf>
    <xf numFmtId="0" fontId="29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18" fillId="0" borderId="20" xfId="0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4" fontId="3" fillId="0" borderId="0" xfId="0" applyNumberFormat="1" applyFont="1"/>
    <xf numFmtId="0" fontId="26" fillId="0" borderId="0" xfId="0" applyFont="1" applyBorder="1"/>
    <xf numFmtId="164" fontId="26" fillId="0" borderId="0" xfId="0" applyNumberFormat="1" applyFont="1" applyBorder="1"/>
    <xf numFmtId="0" fontId="26" fillId="0" borderId="0" xfId="0" applyFont="1" applyBorder="1" applyAlignment="1">
      <alignment horizontal="center"/>
    </xf>
    <xf numFmtId="10" fontId="26" fillId="0" borderId="0" xfId="0" applyNumberFormat="1" applyFont="1" applyBorder="1"/>
    <xf numFmtId="164" fontId="26" fillId="0" borderId="0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168" fontId="3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8" fontId="32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3" fillId="0" borderId="0" xfId="0" applyFont="1" applyBorder="1"/>
    <xf numFmtId="164" fontId="8" fillId="0" borderId="0" xfId="0" applyNumberFormat="1" applyFont="1" applyBorder="1"/>
    <xf numFmtId="164" fontId="7" fillId="2" borderId="0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0" fontId="7" fillId="0" borderId="3" xfId="0" applyNumberFormat="1" applyFont="1" applyBorder="1" applyAlignment="1">
      <alignment horizontal="center" vertical="center"/>
    </xf>
    <xf numFmtId="166" fontId="32" fillId="0" borderId="3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68" fontId="3" fillId="0" borderId="0" xfId="0" applyNumberFormat="1" applyFont="1"/>
    <xf numFmtId="0" fontId="8" fillId="0" borderId="3" xfId="0" applyFont="1" applyBorder="1" applyAlignment="1">
      <alignment horizontal="center"/>
    </xf>
    <xf numFmtId="4" fontId="2" fillId="0" borderId="0" xfId="0" applyNumberFormat="1" applyFont="1" applyAlignment="1">
      <alignment wrapText="1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26" fillId="0" borderId="0" xfId="0" applyNumberFormat="1" applyFont="1"/>
    <xf numFmtId="4" fontId="26" fillId="0" borderId="0" xfId="0" applyNumberFormat="1" applyFont="1" applyBorder="1"/>
    <xf numFmtId="171" fontId="3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right"/>
    </xf>
    <xf numFmtId="171" fontId="8" fillId="0" borderId="0" xfId="0" applyNumberFormat="1" applyFont="1"/>
    <xf numFmtId="164" fontId="3" fillId="0" borderId="0" xfId="0" applyNumberFormat="1" applyFont="1"/>
    <xf numFmtId="164" fontId="7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72" fontId="8" fillId="0" borderId="0" xfId="0" applyNumberFormat="1" applyFont="1"/>
    <xf numFmtId="0" fontId="8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/>
    </xf>
    <xf numFmtId="170" fontId="5" fillId="0" borderId="3" xfId="0" applyNumberFormat="1" applyFont="1" applyBorder="1" applyAlignment="1">
      <alignment horizontal="center" vertical="center"/>
    </xf>
    <xf numFmtId="0" fontId="15" fillId="0" borderId="3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" fontId="5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64" fontId="1" fillId="0" borderId="0" xfId="0" applyNumberFormat="1" applyFont="1"/>
    <xf numFmtId="164" fontId="8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/>
    <xf numFmtId="0" fontId="19" fillId="0" borderId="0" xfId="0" applyFont="1" applyAlignment="1">
      <alignment wrapText="1"/>
    </xf>
    <xf numFmtId="173" fontId="37" fillId="0" borderId="0" xfId="0" applyNumberFormat="1" applyFont="1"/>
    <xf numFmtId="164" fontId="3" fillId="0" borderId="0" xfId="0" applyNumberFormat="1" applyFont="1" applyBorder="1"/>
    <xf numFmtId="164" fontId="3" fillId="2" borderId="3" xfId="0" applyNumberFormat="1" applyFont="1" applyFill="1" applyBorder="1" applyAlignment="1">
      <alignment horizontal="center"/>
    </xf>
    <xf numFmtId="0" fontId="12" fillId="0" borderId="0" xfId="0" applyFont="1"/>
    <xf numFmtId="168" fontId="7" fillId="0" borderId="0" xfId="0" applyNumberFormat="1" applyFont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2" fontId="0" fillId="2" borderId="0" xfId="0" applyNumberFormat="1" applyFill="1"/>
    <xf numFmtId="172" fontId="0" fillId="2" borderId="0" xfId="0" applyNumberFormat="1" applyFill="1"/>
    <xf numFmtId="0" fontId="0" fillId="2" borderId="0" xfId="0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164" fontId="17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5" fillId="2" borderId="0" xfId="0" applyFont="1" applyFill="1"/>
    <xf numFmtId="165" fontId="40" fillId="2" borderId="3" xfId="0" applyNumberFormat="1" applyFont="1" applyFill="1" applyBorder="1" applyAlignment="1">
      <alignment horizontal="left" vertical="center" wrapText="1"/>
    </xf>
    <xf numFmtId="164" fontId="40" fillId="2" borderId="3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165" fontId="40" fillId="2" borderId="3" xfId="0" applyNumberFormat="1" applyFont="1" applyFill="1" applyBorder="1" applyAlignment="1">
      <alignment horizontal="center" vertical="center"/>
    </xf>
    <xf numFmtId="164" fontId="40" fillId="2" borderId="3" xfId="0" applyNumberFormat="1" applyFont="1" applyFill="1" applyBorder="1" applyAlignment="1">
      <alignment horizontal="center" vertical="center" wrapText="1"/>
    </xf>
    <xf numFmtId="2" fontId="23" fillId="2" borderId="3" xfId="0" applyNumberFormat="1" applyFont="1" applyFill="1" applyBorder="1" applyAlignment="1">
      <alignment horizontal="center" vertical="center" wrapText="1"/>
    </xf>
    <xf numFmtId="164" fontId="41" fillId="2" borderId="3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left" vertical="center" wrapText="1"/>
    </xf>
    <xf numFmtId="164" fontId="33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vertical="center" wrapText="1"/>
    </xf>
    <xf numFmtId="2" fontId="23" fillId="2" borderId="4" xfId="0" applyNumberFormat="1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center" vertical="center" wrapText="1"/>
    </xf>
    <xf numFmtId="2" fontId="23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24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distributed"/>
    </xf>
    <xf numFmtId="4" fontId="17" fillId="0" borderId="3" xfId="0" applyNumberFormat="1" applyFont="1" applyFill="1" applyBorder="1" applyAlignment="1">
      <alignment horizontal="center" vertical="distributed"/>
    </xf>
    <xf numFmtId="0" fontId="9" fillId="0" borderId="0" xfId="0" applyFont="1"/>
    <xf numFmtId="168" fontId="9" fillId="0" borderId="0" xfId="0" applyNumberFormat="1" applyFont="1"/>
    <xf numFmtId="165" fontId="40" fillId="0" borderId="3" xfId="0" applyNumberFormat="1" applyFont="1" applyBorder="1" applyAlignment="1">
      <alignment horizontal="left" vertical="center"/>
    </xf>
    <xf numFmtId="164" fontId="9" fillId="0" borderId="0" xfId="0" applyNumberFormat="1" applyFont="1"/>
    <xf numFmtId="0" fontId="24" fillId="0" borderId="3" xfId="0" applyFont="1" applyBorder="1" applyAlignment="1">
      <alignment horizontal="center" vertical="center" wrapText="1"/>
    </xf>
    <xf numFmtId="167" fontId="23" fillId="0" borderId="3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center" vertical="center" wrapText="1"/>
    </xf>
    <xf numFmtId="165" fontId="40" fillId="2" borderId="3" xfId="0" applyNumberFormat="1" applyFont="1" applyFill="1" applyBorder="1" applyAlignment="1">
      <alignment horizontal="left" vertical="center"/>
    </xf>
    <xf numFmtId="165" fontId="9" fillId="2" borderId="3" xfId="0" applyNumberFormat="1" applyFont="1" applyFill="1" applyBorder="1" applyAlignment="1">
      <alignment horizontal="left" vertical="center"/>
    </xf>
    <xf numFmtId="167" fontId="24" fillId="2" borderId="3" xfId="0" applyNumberFormat="1" applyFont="1" applyFill="1" applyBorder="1" applyAlignment="1">
      <alignment horizontal="center" vertical="center" wrapText="1"/>
    </xf>
    <xf numFmtId="164" fontId="41" fillId="2" borderId="3" xfId="0" applyNumberFormat="1" applyFont="1" applyFill="1" applyBorder="1" applyAlignment="1">
      <alignment horizontal="center" vertical="center" wrapText="1"/>
    </xf>
    <xf numFmtId="164" fontId="33" fillId="2" borderId="3" xfId="0" applyNumberFormat="1" applyFont="1" applyFill="1" applyBorder="1" applyAlignment="1">
      <alignment horizontal="center" vertical="center" wrapText="1"/>
    </xf>
    <xf numFmtId="167" fontId="41" fillId="2" borderId="3" xfId="0" applyNumberFormat="1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41" fillId="2" borderId="3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64" fontId="40" fillId="0" borderId="3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8" fontId="9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wrapText="1"/>
    </xf>
    <xf numFmtId="4" fontId="7" fillId="0" borderId="0" xfId="0" applyNumberFormat="1" applyFont="1"/>
    <xf numFmtId="4" fontId="12" fillId="0" borderId="0" xfId="0" applyNumberFormat="1" applyFont="1"/>
    <xf numFmtId="165" fontId="28" fillId="0" borderId="3" xfId="0" applyNumberFormat="1" applyFont="1" applyBorder="1" applyAlignment="1">
      <alignment horizontal="left" vertical="center"/>
    </xf>
    <xf numFmtId="165" fontId="17" fillId="0" borderId="3" xfId="0" applyNumberFormat="1" applyFont="1" applyBorder="1" applyAlignment="1">
      <alignment horizontal="left" vertical="center"/>
    </xf>
    <xf numFmtId="165" fontId="17" fillId="2" borderId="3" xfId="0" applyNumberFormat="1" applyFont="1" applyFill="1" applyBorder="1" applyAlignment="1">
      <alignment horizontal="left" vertical="center"/>
    </xf>
    <xf numFmtId="0" fontId="8" fillId="0" borderId="0" xfId="0" applyFont="1" applyFill="1"/>
    <xf numFmtId="0" fontId="14" fillId="0" borderId="0" xfId="0" applyFont="1" applyFill="1"/>
    <xf numFmtId="0" fontId="19" fillId="0" borderId="0" xfId="0" applyFont="1" applyFill="1" applyAlignment="1">
      <alignment wrapText="1"/>
    </xf>
    <xf numFmtId="0" fontId="14" fillId="0" borderId="0" xfId="0" applyFont="1" applyFill="1" applyAlignment="1">
      <alignment horizontal="left"/>
    </xf>
    <xf numFmtId="0" fontId="19" fillId="0" borderId="0" xfId="0" applyFont="1" applyAlignment="1">
      <alignment horizontal="right" wrapText="1"/>
    </xf>
    <xf numFmtId="168" fontId="8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2" borderId="0" xfId="0" applyFont="1" applyFill="1"/>
    <xf numFmtId="0" fontId="14" fillId="2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5" fillId="0" borderId="0" xfId="0" applyFont="1" applyFill="1"/>
    <xf numFmtId="176" fontId="8" fillId="0" borderId="0" xfId="0" applyNumberFormat="1" applyFo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4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wrapText="1"/>
    </xf>
    <xf numFmtId="4" fontId="17" fillId="0" borderId="3" xfId="0" applyNumberFormat="1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1" applyNumberFormat="1" applyFont="1" applyFill="1" applyBorder="1" applyAlignment="1">
      <alignment horizontal="center" vertical="center"/>
    </xf>
    <xf numFmtId="4" fontId="17" fillId="0" borderId="3" xfId="1" applyNumberFormat="1" applyFont="1" applyFill="1" applyBorder="1" applyAlignment="1">
      <alignment vertical="center"/>
    </xf>
    <xf numFmtId="0" fontId="5" fillId="0" borderId="3" xfId="0" applyFont="1" applyFill="1" applyBorder="1"/>
    <xf numFmtId="0" fontId="5" fillId="0" borderId="0" xfId="0" applyFont="1" applyFill="1" applyBorder="1"/>
    <xf numFmtId="16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distributed"/>
    </xf>
    <xf numFmtId="0" fontId="5" fillId="0" borderId="3" xfId="0" applyFont="1" applyFill="1" applyBorder="1" applyAlignment="1">
      <alignment horizontal="center" vertical="distributed"/>
    </xf>
    <xf numFmtId="3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/>
    </xf>
    <xf numFmtId="164" fontId="40" fillId="2" borderId="5" xfId="0" applyNumberFormat="1" applyFont="1" applyFill="1" applyBorder="1" applyAlignment="1">
      <alignment horizontal="center" vertical="center" wrapText="1"/>
    </xf>
    <xf numFmtId="164" fontId="33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 wrapText="1"/>
    </xf>
    <xf numFmtId="164" fontId="40" fillId="2" borderId="8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/>
    <xf numFmtId="0" fontId="26" fillId="0" borderId="0" xfId="0" applyFont="1"/>
    <xf numFmtId="164" fontId="49" fillId="0" borderId="0" xfId="0" applyNumberFormat="1" applyFont="1"/>
    <xf numFmtId="0" fontId="26" fillId="0" borderId="0" xfId="0" applyFont="1" applyAlignment="1">
      <alignment horizontal="center"/>
    </xf>
    <xf numFmtId="173" fontId="50" fillId="0" borderId="0" xfId="0" applyNumberFormat="1" applyFont="1"/>
    <xf numFmtId="0" fontId="51" fillId="0" borderId="0" xfId="0" applyFont="1" applyAlignment="1">
      <alignment horizontal="center" wrapText="1"/>
    </xf>
    <xf numFmtId="164" fontId="49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171" fontId="26" fillId="0" borderId="0" xfId="0" applyNumberFormat="1" applyFont="1" applyAlignment="1">
      <alignment horizontal="center"/>
    </xf>
    <xf numFmtId="165" fontId="11" fillId="0" borderId="5" xfId="0" applyNumberFormat="1" applyFont="1" applyBorder="1" applyAlignment="1">
      <alignment horizontal="left" vertical="center"/>
    </xf>
    <xf numFmtId="165" fontId="5" fillId="0" borderId="5" xfId="0" applyNumberFormat="1" applyFont="1" applyBorder="1" applyAlignment="1">
      <alignment horizontal="left" vertical="center"/>
    </xf>
    <xf numFmtId="165" fontId="5" fillId="2" borderId="5" xfId="0" applyNumberFormat="1" applyFont="1" applyFill="1" applyBorder="1" applyAlignment="1">
      <alignment horizontal="left" vertical="center"/>
    </xf>
    <xf numFmtId="0" fontId="52" fillId="0" borderId="3" xfId="0" applyFont="1" applyBorder="1" applyAlignment="1">
      <alignment horizontal="center" wrapText="1"/>
    </xf>
    <xf numFmtId="168" fontId="52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wrapText="1"/>
    </xf>
    <xf numFmtId="164" fontId="5" fillId="0" borderId="0" xfId="0" applyNumberFormat="1" applyFont="1" applyAlignment="1">
      <alignment vertical="top" wrapText="1"/>
    </xf>
    <xf numFmtId="0" fontId="8" fillId="0" borderId="3" xfId="0" applyFont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/>
    <xf numFmtId="0" fontId="15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/>
    <xf numFmtId="0" fontId="54" fillId="0" borderId="0" xfId="0" applyFont="1"/>
    <xf numFmtId="0" fontId="56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vertical="center" wrapText="1"/>
    </xf>
    <xf numFmtId="0" fontId="54" fillId="0" borderId="3" xfId="0" applyFont="1" applyBorder="1" applyAlignment="1">
      <alignment horizontal="center" vertical="center" wrapText="1"/>
    </xf>
    <xf numFmtId="164" fontId="56" fillId="0" borderId="3" xfId="0" applyNumberFormat="1" applyFont="1" applyBorder="1" applyAlignment="1">
      <alignment horizontal="center" vertical="center" wrapText="1"/>
    </xf>
    <xf numFmtId="164" fontId="54" fillId="0" borderId="3" xfId="0" applyNumberFormat="1" applyFont="1" applyBorder="1" applyAlignment="1">
      <alignment horizontal="center" vertical="center" wrapText="1"/>
    </xf>
    <xf numFmtId="164" fontId="55" fillId="0" borderId="3" xfId="0" applyNumberFormat="1" applyFont="1" applyBorder="1" applyAlignment="1">
      <alignment horizontal="center" vertical="center" wrapText="1"/>
    </xf>
    <xf numFmtId="168" fontId="54" fillId="0" borderId="3" xfId="0" applyNumberFormat="1" applyFont="1" applyBorder="1" applyAlignment="1">
      <alignment horizontal="center" vertical="center" wrapText="1"/>
    </xf>
    <xf numFmtId="0" fontId="57" fillId="2" borderId="0" xfId="0" applyFont="1" applyFill="1"/>
    <xf numFmtId="0" fontId="5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left" vertical="center" wrapText="1"/>
    </xf>
    <xf numFmtId="0" fontId="56" fillId="2" borderId="3" xfId="0" applyFont="1" applyFill="1" applyBorder="1" applyAlignment="1">
      <alignment vertical="center" wrapText="1"/>
    </xf>
    <xf numFmtId="164" fontId="56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left" vertical="center"/>
    </xf>
    <xf numFmtId="164" fontId="7" fillId="2" borderId="3" xfId="0" applyNumberFormat="1" applyFont="1" applyFill="1" applyBorder="1" applyAlignment="1">
      <alignment horizontal="center"/>
    </xf>
    <xf numFmtId="0" fontId="38" fillId="2" borderId="0" xfId="0" applyFont="1" applyFill="1"/>
    <xf numFmtId="165" fontId="41" fillId="2" borderId="3" xfId="0" applyNumberFormat="1" applyFont="1" applyFill="1" applyBorder="1" applyAlignment="1">
      <alignment horizontal="left" vertical="center" wrapText="1"/>
    </xf>
    <xf numFmtId="164" fontId="57" fillId="2" borderId="0" xfId="0" applyNumberFormat="1" applyFont="1" applyFill="1"/>
    <xf numFmtId="49" fontId="33" fillId="2" borderId="3" xfId="0" applyNumberFormat="1" applyFont="1" applyFill="1" applyBorder="1" applyAlignment="1">
      <alignment horizontal="center" vertical="center" wrapText="1"/>
    </xf>
    <xf numFmtId="165" fontId="33" fillId="2" borderId="3" xfId="0" applyNumberFormat="1" applyFont="1" applyFill="1" applyBorder="1" applyAlignment="1">
      <alignment horizontal="left" vertical="center" wrapText="1"/>
    </xf>
    <xf numFmtId="0" fontId="38" fillId="2" borderId="0" xfId="0" applyFont="1" applyFill="1" applyAlignment="1">
      <alignment wrapText="1"/>
    </xf>
    <xf numFmtId="164" fontId="38" fillId="2" borderId="0" xfId="0" applyNumberFormat="1" applyFont="1" applyFill="1"/>
    <xf numFmtId="0" fontId="8" fillId="0" borderId="3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2" fontId="23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vertical="top"/>
    </xf>
    <xf numFmtId="0" fontId="33" fillId="2" borderId="1" xfId="0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165" fontId="33" fillId="2" borderId="1" xfId="0" applyNumberFormat="1" applyFont="1" applyFill="1" applyBorder="1" applyAlignment="1">
      <alignment horizontal="left" vertical="center" wrapText="1"/>
    </xf>
    <xf numFmtId="164" fontId="33" fillId="2" borderId="26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164" fontId="5" fillId="2" borderId="3" xfId="0" applyNumberFormat="1" applyFont="1" applyFill="1" applyBorder="1" applyAlignment="1">
      <alignment horizontal="center"/>
    </xf>
    <xf numFmtId="168" fontId="11" fillId="2" borderId="3" xfId="0" applyNumberFormat="1" applyFont="1" applyFill="1" applyBorder="1" applyAlignment="1">
      <alignment horizontal="center" vertical="center"/>
    </xf>
    <xf numFmtId="164" fontId="28" fillId="2" borderId="7" xfId="0" applyNumberFormat="1" applyFont="1" applyFill="1" applyBorder="1" applyAlignment="1">
      <alignment horizontal="center" vertical="center" wrapText="1"/>
    </xf>
    <xf numFmtId="164" fontId="17" fillId="2" borderId="7" xfId="0" applyNumberFormat="1" applyFont="1" applyFill="1" applyBorder="1" applyAlignment="1">
      <alignment horizontal="center" vertical="center" wrapText="1"/>
    </xf>
    <xf numFmtId="164" fontId="28" fillId="2" borderId="21" xfId="0" applyNumberFormat="1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165" fontId="5" fillId="2" borderId="11" xfId="0" applyNumberFormat="1" applyFont="1" applyFill="1" applyBorder="1" applyAlignment="1">
      <alignment horizontal="left" vertical="center"/>
    </xf>
    <xf numFmtId="164" fontId="11" fillId="2" borderId="11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 wrapText="1"/>
    </xf>
    <xf numFmtId="164" fontId="28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28" fillId="2" borderId="15" xfId="0" applyNumberFormat="1" applyFont="1" applyFill="1" applyBorder="1" applyAlignment="1">
      <alignment horizontal="center" vertical="center" wrapText="1"/>
    </xf>
    <xf numFmtId="164" fontId="17" fillId="2" borderId="1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left" vertical="center"/>
    </xf>
    <xf numFmtId="164" fontId="11" fillId="2" borderId="7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 wrapText="1"/>
    </xf>
    <xf numFmtId="164" fontId="11" fillId="2" borderId="43" xfId="0" applyNumberFormat="1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/>
    </xf>
    <xf numFmtId="164" fontId="11" fillId="2" borderId="21" xfId="0" applyNumberFormat="1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 wrapText="1"/>
    </xf>
    <xf numFmtId="164" fontId="11" fillId="2" borderId="22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left" vertical="center"/>
    </xf>
    <xf numFmtId="165" fontId="11" fillId="2" borderId="12" xfId="0" applyNumberFormat="1" applyFont="1" applyFill="1" applyBorder="1" applyAlignment="1">
      <alignment horizontal="left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left" vertical="center"/>
    </xf>
    <xf numFmtId="164" fontId="11" fillId="2" borderId="8" xfId="0" applyNumberFormat="1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8" fontId="11" fillId="2" borderId="12" xfId="0" applyNumberFormat="1" applyFont="1" applyFill="1" applyBorder="1" applyAlignment="1">
      <alignment horizontal="center" vertical="center"/>
    </xf>
    <xf numFmtId="168" fontId="11" fillId="2" borderId="43" xfId="0" applyNumberFormat="1" applyFont="1" applyFill="1" applyBorder="1" applyAlignment="1">
      <alignment horizontal="center" vertical="center"/>
    </xf>
    <xf numFmtId="168" fontId="11" fillId="2" borderId="21" xfId="0" applyNumberFormat="1" applyFont="1" applyFill="1" applyBorder="1" applyAlignment="1">
      <alignment horizontal="center" vertical="center"/>
    </xf>
    <xf numFmtId="168" fontId="11" fillId="2" borderId="11" xfId="0" applyNumberFormat="1" applyFont="1" applyFill="1" applyBorder="1" applyAlignment="1">
      <alignment horizontal="center" vertical="center"/>
    </xf>
    <xf numFmtId="168" fontId="11" fillId="2" borderId="2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65" fontId="11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left" vertical="center"/>
    </xf>
    <xf numFmtId="165" fontId="11" fillId="0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70" fontId="17" fillId="0" borderId="3" xfId="0" applyNumberFormat="1" applyFont="1" applyBorder="1" applyAlignment="1">
      <alignment horizontal="center" vertical="center"/>
    </xf>
    <xf numFmtId="164" fontId="11" fillId="2" borderId="44" xfId="0" applyNumberFormat="1" applyFont="1" applyFill="1" applyBorder="1" applyAlignment="1">
      <alignment horizontal="center" vertical="center" wrapText="1"/>
    </xf>
    <xf numFmtId="167" fontId="17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7" fontId="63" fillId="0" borderId="3" xfId="0" applyNumberFormat="1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2" fontId="40" fillId="2" borderId="3" xfId="0" applyNumberFormat="1" applyFont="1" applyFill="1" applyBorder="1" applyAlignment="1">
      <alignment horizontal="center" vertical="center"/>
    </xf>
    <xf numFmtId="2" fontId="23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7" fontId="63" fillId="0" borderId="3" xfId="0" applyNumberFormat="1" applyFont="1" applyBorder="1" applyAlignment="1">
      <alignment vertical="center" wrapText="1"/>
    </xf>
    <xf numFmtId="4" fontId="28" fillId="2" borderId="3" xfId="0" applyNumberFormat="1" applyFont="1" applyFill="1" applyBorder="1" applyAlignment="1">
      <alignment horizontal="center" vertical="center" wrapText="1"/>
    </xf>
    <xf numFmtId="4" fontId="65" fillId="2" borderId="3" xfId="0" applyNumberFormat="1" applyFont="1" applyFill="1" applyBorder="1" applyAlignment="1">
      <alignment horizontal="center" vertical="center" wrapText="1"/>
    </xf>
    <xf numFmtId="3" fontId="28" fillId="2" borderId="3" xfId="0" applyNumberFormat="1" applyFont="1" applyFill="1" applyBorder="1" applyAlignment="1">
      <alignment horizontal="center" vertical="center" wrapText="1"/>
    </xf>
    <xf numFmtId="3" fontId="65" fillId="2" borderId="3" xfId="0" applyNumberFormat="1" applyFont="1" applyFill="1" applyBorder="1" applyAlignment="1">
      <alignment horizontal="center" vertical="center" wrapText="1"/>
    </xf>
    <xf numFmtId="167" fontId="63" fillId="2" borderId="3" xfId="0" applyNumberFormat="1" applyFont="1" applyFill="1" applyBorder="1" applyAlignment="1">
      <alignment horizontal="center" vertical="center" wrapText="1"/>
    </xf>
    <xf numFmtId="3" fontId="63" fillId="0" borderId="3" xfId="0" applyNumberFormat="1" applyFont="1" applyBorder="1" applyAlignment="1">
      <alignment horizontal="center" vertical="center" wrapText="1"/>
    </xf>
    <xf numFmtId="164" fontId="11" fillId="2" borderId="43" xfId="0" applyNumberFormat="1" applyFont="1" applyFill="1" applyBorder="1" applyAlignment="1">
      <alignment horizontal="center" vertical="center"/>
    </xf>
    <xf numFmtId="164" fontId="11" fillId="2" borderId="21" xfId="0" applyNumberFormat="1" applyFont="1" applyFill="1" applyBorder="1" applyAlignment="1">
      <alignment horizontal="center" vertical="center"/>
    </xf>
    <xf numFmtId="164" fontId="11" fillId="2" borderId="22" xfId="0" applyNumberFormat="1" applyFont="1" applyFill="1" applyBorder="1" applyAlignment="1">
      <alignment horizontal="center" vertical="center"/>
    </xf>
    <xf numFmtId="0" fontId="62" fillId="2" borderId="3" xfId="0" applyFont="1" applyFill="1" applyBorder="1" applyAlignment="1">
      <alignment horizontal="center" vertical="center" wrapText="1"/>
    </xf>
    <xf numFmtId="0" fontId="64" fillId="2" borderId="3" xfId="0" applyFont="1" applyFill="1" applyBorder="1" applyAlignment="1">
      <alignment horizontal="center" vertical="center" wrapText="1"/>
    </xf>
    <xf numFmtId="0" fontId="66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wrapText="1"/>
    </xf>
    <xf numFmtId="164" fontId="28" fillId="2" borderId="3" xfId="0" applyNumberFormat="1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167" fontId="17" fillId="0" borderId="3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8" fillId="2" borderId="0" xfId="0" applyFont="1" applyFill="1"/>
    <xf numFmtId="164" fontId="68" fillId="2" borderId="0" xfId="0" applyNumberFormat="1" applyFont="1" applyFill="1"/>
    <xf numFmtId="164" fontId="67" fillId="2" borderId="0" xfId="0" applyNumberFormat="1" applyFont="1" applyFill="1"/>
    <xf numFmtId="164" fontId="69" fillId="2" borderId="0" xfId="0" applyNumberFormat="1" applyFont="1" applyFill="1" applyBorder="1" applyAlignment="1">
      <alignment horizontal="right" vertical="center"/>
    </xf>
    <xf numFmtId="164" fontId="67" fillId="2" borderId="0" xfId="0" applyNumberFormat="1" applyFont="1" applyFill="1" applyBorder="1"/>
    <xf numFmtId="164" fontId="49" fillId="2" borderId="0" xfId="0" applyNumberFormat="1" applyFont="1" applyFill="1" applyBorder="1" applyAlignment="1">
      <alignment horizontal="right" vertical="center"/>
    </xf>
    <xf numFmtId="164" fontId="70" fillId="2" borderId="0" xfId="0" applyNumberFormat="1" applyFont="1" applyFill="1"/>
    <xf numFmtId="0" fontId="70" fillId="2" borderId="0" xfId="0" applyFont="1" applyFill="1"/>
    <xf numFmtId="164" fontId="70" fillId="2" borderId="3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4" fontId="8" fillId="0" borderId="0" xfId="0" applyNumberFormat="1" applyFont="1" applyBorder="1"/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168" fontId="7" fillId="0" borderId="0" xfId="0" applyNumberFormat="1" applyFont="1" applyBorder="1" applyAlignment="1">
      <alignment horizontal="center"/>
    </xf>
    <xf numFmtId="4" fontId="55" fillId="4" borderId="0" xfId="0" applyNumberFormat="1" applyFont="1" applyFill="1" applyBorder="1" applyAlignment="1">
      <alignment wrapText="1"/>
    </xf>
    <xf numFmtId="3" fontId="8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68" fontId="7" fillId="0" borderId="0" xfId="0" applyNumberFormat="1" applyFont="1" applyBorder="1"/>
    <xf numFmtId="0" fontId="62" fillId="0" borderId="3" xfId="0" applyFont="1" applyBorder="1" applyAlignment="1">
      <alignment vertical="center" wrapText="1"/>
    </xf>
    <xf numFmtId="0" fontId="61" fillId="2" borderId="3" xfId="0" applyFont="1" applyFill="1" applyBorder="1" applyAlignment="1">
      <alignment horizontal="center" vertical="center"/>
    </xf>
    <xf numFmtId="164" fontId="49" fillId="2" borderId="0" xfId="0" applyNumberFormat="1" applyFont="1" applyFill="1" applyBorder="1" applyAlignment="1">
      <alignment horizontal="left"/>
    </xf>
    <xf numFmtId="164" fontId="49" fillId="2" borderId="0" xfId="0" applyNumberFormat="1" applyFont="1" applyFill="1" applyBorder="1" applyAlignment="1">
      <alignment horizontal="center"/>
    </xf>
    <xf numFmtId="0" fontId="26" fillId="2" borderId="0" xfId="0" applyFont="1" applyFill="1" applyBorder="1"/>
    <xf numFmtId="164" fontId="26" fillId="2" borderId="0" xfId="0" applyNumberFormat="1" applyFont="1" applyFill="1" applyBorder="1"/>
    <xf numFmtId="0" fontId="5" fillId="0" borderId="3" xfId="0" applyFont="1" applyBorder="1" applyAlignment="1">
      <alignment horizontal="center" vertical="center"/>
    </xf>
    <xf numFmtId="164" fontId="40" fillId="2" borderId="0" xfId="0" applyNumberFormat="1" applyFont="1" applyFill="1" applyBorder="1" applyAlignment="1">
      <alignment horizontal="center" vertical="center" wrapText="1"/>
    </xf>
    <xf numFmtId="164" fontId="33" fillId="2" borderId="0" xfId="0" applyNumberFormat="1" applyFont="1" applyFill="1" applyBorder="1" applyAlignment="1">
      <alignment horizontal="center"/>
    </xf>
    <xf numFmtId="164" fontId="78" fillId="2" borderId="0" xfId="0" applyNumberFormat="1" applyFont="1" applyFill="1"/>
    <xf numFmtId="0" fontId="59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4" fontId="9" fillId="2" borderId="8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8" fillId="2" borderId="0" xfId="0" applyNumberFormat="1" applyFont="1" applyFill="1"/>
    <xf numFmtId="164" fontId="8" fillId="2" borderId="0" xfId="0" applyNumberFormat="1" applyFont="1" applyFill="1"/>
    <xf numFmtId="0" fontId="26" fillId="2" borderId="0" xfId="0" applyFont="1" applyFill="1"/>
    <xf numFmtId="178" fontId="26" fillId="2" borderId="0" xfId="0" applyNumberFormat="1" applyFont="1" applyFill="1"/>
    <xf numFmtId="164" fontId="49" fillId="2" borderId="0" xfId="0" applyNumberFormat="1" applyFont="1" applyFill="1"/>
    <xf numFmtId="164" fontId="26" fillId="2" borderId="0" xfId="0" applyNumberFormat="1" applyFont="1" applyFill="1"/>
    <xf numFmtId="177" fontId="26" fillId="2" borderId="0" xfId="0" applyNumberFormat="1" applyFont="1" applyFill="1"/>
    <xf numFmtId="164" fontId="7" fillId="2" borderId="0" xfId="0" applyNumberFormat="1" applyFont="1" applyFill="1"/>
    <xf numFmtId="164" fontId="8" fillId="2" borderId="0" xfId="0" applyNumberFormat="1" applyFont="1" applyFill="1" applyAlignment="1">
      <alignment horizontal="right"/>
    </xf>
    <xf numFmtId="4" fontId="26" fillId="2" borderId="0" xfId="0" applyNumberFormat="1" applyFont="1" applyFill="1"/>
    <xf numFmtId="171" fontId="3" fillId="2" borderId="0" xfId="0" applyNumberFormat="1" applyFont="1" applyFill="1"/>
    <xf numFmtId="164" fontId="49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" fontId="3" fillId="2" borderId="0" xfId="0" applyNumberFormat="1" applyFont="1" applyFill="1"/>
    <xf numFmtId="172" fontId="8" fillId="2" borderId="0" xfId="0" applyNumberFormat="1" applyFont="1" applyFill="1"/>
    <xf numFmtId="0" fontId="16" fillId="2" borderId="1" xfId="0" applyFont="1" applyFill="1" applyBorder="1" applyAlignment="1">
      <alignment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/>
    <xf numFmtId="0" fontId="16" fillId="2" borderId="4" xfId="0" applyFont="1" applyFill="1" applyBorder="1" applyAlignment="1">
      <alignment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4" fontId="28" fillId="2" borderId="2" xfId="0" applyNumberFormat="1" applyFont="1" applyFill="1" applyBorder="1" applyAlignment="1">
      <alignment vertical="center" wrapText="1"/>
    </xf>
    <xf numFmtId="164" fontId="3" fillId="2" borderId="0" xfId="0" applyNumberFormat="1" applyFont="1" applyFill="1"/>
    <xf numFmtId="164" fontId="7" fillId="2" borderId="0" xfId="0" applyNumberFormat="1" applyFont="1" applyFill="1" applyAlignment="1">
      <alignment horizontal="left"/>
    </xf>
    <xf numFmtId="165" fontId="8" fillId="2" borderId="0" xfId="0" applyNumberFormat="1" applyFont="1" applyFill="1" applyAlignment="1">
      <alignment horizontal="center"/>
    </xf>
    <xf numFmtId="164" fontId="41" fillId="2" borderId="0" xfId="0" applyNumberFormat="1" applyFont="1" applyFill="1" applyBorder="1" applyAlignment="1">
      <alignment horizontal="center" vertical="center" wrapText="1"/>
    </xf>
    <xf numFmtId="0" fontId="78" fillId="2" borderId="0" xfId="0" applyFont="1" applyFill="1"/>
    <xf numFmtId="0" fontId="78" fillId="2" borderId="0" xfId="0" applyFont="1" applyFill="1" applyBorder="1"/>
    <xf numFmtId="0" fontId="79" fillId="2" borderId="0" xfId="0" applyFont="1" applyFill="1" applyBorder="1" applyAlignment="1">
      <alignment horizontal="center" vertical="center"/>
    </xf>
    <xf numFmtId="0" fontId="79" fillId="2" borderId="23" xfId="0" applyFont="1" applyFill="1" applyBorder="1" applyAlignment="1">
      <alignment horizontal="center" vertical="center"/>
    </xf>
    <xf numFmtId="164" fontId="40" fillId="2" borderId="0" xfId="0" applyNumberFormat="1" applyFont="1" applyFill="1" applyBorder="1" applyAlignment="1">
      <alignment horizontal="center" vertical="center"/>
    </xf>
    <xf numFmtId="164" fontId="41" fillId="2" borderId="0" xfId="0" applyNumberFormat="1" applyFont="1" applyFill="1" applyBorder="1" applyAlignment="1">
      <alignment horizontal="center" vertical="center"/>
    </xf>
    <xf numFmtId="164" fontId="33" fillId="2" borderId="0" xfId="0" applyNumberFormat="1" applyFont="1" applyFill="1" applyBorder="1" applyAlignment="1">
      <alignment horizontal="center" vertical="center"/>
    </xf>
    <xf numFmtId="0" fontId="78" fillId="2" borderId="0" xfId="0" applyFont="1" applyFill="1" applyAlignment="1">
      <alignment horizontal="center" vertical="center"/>
    </xf>
    <xf numFmtId="164" fontId="78" fillId="2" borderId="0" xfId="0" applyNumberFormat="1" applyFont="1" applyFill="1" applyBorder="1" applyAlignment="1">
      <alignment horizontal="center" vertical="center"/>
    </xf>
    <xf numFmtId="164" fontId="78" fillId="2" borderId="0" xfId="0" applyNumberFormat="1" applyFont="1" applyFill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2" fontId="23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79" fillId="2" borderId="0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68" fillId="2" borderId="0" xfId="0" applyFont="1" applyFill="1" applyBorder="1"/>
    <xf numFmtId="164" fontId="51" fillId="2" borderId="0" xfId="0" applyNumberFormat="1" applyFont="1" applyFill="1" applyBorder="1"/>
    <xf numFmtId="0" fontId="71" fillId="2" borderId="0" xfId="0" applyFont="1" applyFill="1" applyBorder="1"/>
    <xf numFmtId="164" fontId="71" fillId="2" borderId="0" xfId="0" applyNumberFormat="1" applyFont="1" applyFill="1" applyBorder="1" applyAlignment="1">
      <alignment horizontal="left"/>
    </xf>
    <xf numFmtId="0" fontId="51" fillId="2" borderId="0" xfId="0" applyFont="1" applyFill="1" applyBorder="1" applyAlignment="1">
      <alignment horizontal="right" wrapText="1"/>
    </xf>
    <xf numFmtId="164" fontId="69" fillId="2" borderId="0" xfId="0" applyNumberFormat="1" applyFont="1" applyFill="1" applyBorder="1" applyAlignment="1">
      <alignment horizontal="right"/>
    </xf>
    <xf numFmtId="0" fontId="71" fillId="2" borderId="0" xfId="0" applyFont="1" applyFill="1" applyBorder="1" applyAlignment="1">
      <alignment horizontal="right"/>
    </xf>
    <xf numFmtId="164" fontId="51" fillId="2" borderId="0" xfId="0" applyNumberFormat="1" applyFont="1" applyFill="1" applyBorder="1" applyAlignment="1">
      <alignment horizontal="center" wrapText="1"/>
    </xf>
    <xf numFmtId="164" fontId="68" fillId="2" borderId="0" xfId="0" applyNumberFormat="1" applyFont="1" applyFill="1" applyBorder="1"/>
    <xf numFmtId="164" fontId="72" fillId="2" borderId="0" xfId="0" applyNumberFormat="1" applyFont="1" applyFill="1" applyBorder="1" applyAlignment="1">
      <alignment horizontal="center"/>
    </xf>
    <xf numFmtId="164" fontId="72" fillId="2" borderId="0" xfId="0" applyNumberFormat="1" applyFont="1" applyFill="1" applyBorder="1" applyAlignment="1">
      <alignment horizontal="center" vertical="center"/>
    </xf>
    <xf numFmtId="164" fontId="73" fillId="2" borderId="0" xfId="0" applyNumberFormat="1" applyFont="1" applyFill="1" applyBorder="1" applyAlignment="1">
      <alignment vertical="center"/>
    </xf>
    <xf numFmtId="164" fontId="72" fillId="2" borderId="0" xfId="0" applyNumberFormat="1" applyFont="1" applyFill="1" applyBorder="1"/>
    <xf numFmtId="164" fontId="73" fillId="2" borderId="0" xfId="0" applyNumberFormat="1" applyFont="1" applyFill="1" applyBorder="1"/>
    <xf numFmtId="164" fontId="72" fillId="2" borderId="0" xfId="0" applyNumberFormat="1" applyFont="1" applyFill="1" applyBorder="1" applyAlignment="1">
      <alignment horizontal="center" vertical="center" wrapText="1"/>
    </xf>
    <xf numFmtId="164" fontId="71" fillId="2" borderId="0" xfId="0" applyNumberFormat="1" applyFont="1" applyFill="1" applyBorder="1"/>
    <xf numFmtId="0" fontId="70" fillId="2" borderId="0" xfId="0" applyFont="1" applyFill="1" applyBorder="1"/>
    <xf numFmtId="164" fontId="51" fillId="2" borderId="0" xfId="0" applyNumberFormat="1" applyFont="1" applyFill="1" applyBorder="1" applyAlignment="1">
      <alignment horizontal="center" vertical="center" wrapText="1"/>
    </xf>
    <xf numFmtId="164" fontId="51" fillId="2" borderId="0" xfId="0" applyNumberFormat="1" applyFont="1" applyFill="1" applyBorder="1" applyAlignment="1">
      <alignment horizontal="center" vertical="center"/>
    </xf>
    <xf numFmtId="164" fontId="74" fillId="2" borderId="0" xfId="0" applyNumberFormat="1" applyFont="1" applyFill="1" applyBorder="1" applyAlignment="1">
      <alignment horizontal="center" vertical="center" wrapText="1"/>
    </xf>
    <xf numFmtId="164" fontId="70" fillId="2" borderId="0" xfId="0" applyNumberFormat="1" applyFont="1" applyFill="1" applyBorder="1" applyAlignment="1">
      <alignment horizontal="center" vertical="center"/>
    </xf>
    <xf numFmtId="164" fontId="69" fillId="2" borderId="0" xfId="0" applyNumberFormat="1" applyFont="1" applyFill="1" applyBorder="1" applyAlignment="1">
      <alignment horizontal="center" vertical="center" wrapText="1"/>
    </xf>
    <xf numFmtId="164" fontId="69" fillId="2" borderId="0" xfId="0" applyNumberFormat="1" applyFont="1" applyFill="1" applyBorder="1" applyAlignment="1">
      <alignment horizontal="center" vertical="center"/>
    </xf>
    <xf numFmtId="0" fontId="71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164" fontId="51" fillId="2" borderId="0" xfId="0" applyNumberFormat="1" applyFont="1" applyFill="1" applyBorder="1" applyAlignment="1">
      <alignment horizontal="right" vertical="center"/>
    </xf>
    <xf numFmtId="0" fontId="75" fillId="2" borderId="0" xfId="0" applyFont="1" applyFill="1" applyBorder="1"/>
    <xf numFmtId="0" fontId="51" fillId="2" borderId="0" xfId="0" applyFont="1" applyFill="1" applyBorder="1" applyAlignment="1">
      <alignment horizontal="center"/>
    </xf>
    <xf numFmtId="0" fontId="71" fillId="2" borderId="0" xfId="0" applyFont="1" applyFill="1" applyBorder="1" applyAlignment="1">
      <alignment horizontal="center"/>
    </xf>
    <xf numFmtId="164" fontId="71" fillId="2" borderId="0" xfId="0" applyNumberFormat="1" applyFont="1" applyFill="1" applyBorder="1" applyAlignment="1">
      <alignment horizontal="right" vertical="center" wrapText="1"/>
    </xf>
    <xf numFmtId="164" fontId="73" fillId="2" borderId="0" xfId="0" applyNumberFormat="1" applyFont="1" applyFill="1" applyBorder="1" applyAlignment="1">
      <alignment horizontal="right"/>
    </xf>
    <xf numFmtId="164" fontId="21" fillId="2" borderId="3" xfId="0" applyNumberFormat="1" applyFont="1" applyFill="1" applyBorder="1" applyAlignment="1">
      <alignment horizontal="center" vertical="center" wrapText="1"/>
    </xf>
    <xf numFmtId="0" fontId="73" fillId="2" borderId="0" xfId="0" applyFont="1" applyFill="1" applyBorder="1" applyAlignment="1">
      <alignment horizontal="right"/>
    </xf>
    <xf numFmtId="164" fontId="21" fillId="2" borderId="3" xfId="0" applyNumberFormat="1" applyFont="1" applyFill="1" applyBorder="1" applyAlignment="1">
      <alignment horizontal="center" vertical="center"/>
    </xf>
    <xf numFmtId="164" fontId="70" fillId="2" borderId="0" xfId="0" applyNumberFormat="1" applyFont="1" applyFill="1" applyBorder="1" applyAlignment="1">
      <alignment vertical="center"/>
    </xf>
    <xf numFmtId="164" fontId="71" fillId="2" borderId="0" xfId="0" applyNumberFormat="1" applyFont="1" applyFill="1" applyBorder="1" applyAlignment="1">
      <alignment horizontal="center" vertical="center"/>
    </xf>
    <xf numFmtId="164" fontId="19" fillId="2" borderId="3" xfId="0" applyNumberFormat="1" applyFont="1" applyFill="1" applyBorder="1" applyAlignment="1">
      <alignment horizontal="center" vertical="center" wrapText="1"/>
    </xf>
    <xf numFmtId="4" fontId="70" fillId="2" borderId="0" xfId="0" applyNumberFormat="1" applyFont="1" applyFill="1" applyBorder="1"/>
    <xf numFmtId="164" fontId="70" fillId="2" borderId="0" xfId="0" applyNumberFormat="1" applyFont="1" applyFill="1" applyBorder="1" applyAlignment="1">
      <alignment horizontal="center"/>
    </xf>
    <xf numFmtId="165" fontId="9" fillId="2" borderId="11" xfId="0" applyNumberFormat="1" applyFont="1" applyFill="1" applyBorder="1" applyAlignment="1">
      <alignment horizontal="left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5" fontId="40" fillId="2" borderId="2" xfId="0" applyNumberFormat="1" applyFont="1" applyFill="1" applyBorder="1" applyAlignment="1">
      <alignment horizontal="left" vertical="center" wrapText="1"/>
    </xf>
    <xf numFmtId="164" fontId="41" fillId="2" borderId="2" xfId="0" applyNumberFormat="1" applyFont="1" applyFill="1" applyBorder="1" applyAlignment="1">
      <alignment horizontal="center" vertical="center" wrapText="1"/>
    </xf>
    <xf numFmtId="164" fontId="72" fillId="2" borderId="0" xfId="0" applyNumberFormat="1" applyFont="1" applyFill="1" applyBorder="1" applyAlignment="1">
      <alignment horizontal="right" vertical="center" wrapText="1"/>
    </xf>
    <xf numFmtId="164" fontId="74" fillId="2" borderId="0" xfId="0" applyNumberFormat="1" applyFont="1" applyFill="1" applyBorder="1" applyAlignment="1">
      <alignment horizontal="right" vertical="center" wrapText="1"/>
    </xf>
    <xf numFmtId="164" fontId="74" fillId="2" borderId="0" xfId="0" applyNumberFormat="1" applyFont="1" applyFill="1" applyBorder="1" applyAlignment="1">
      <alignment horizontal="right" vertical="center"/>
    </xf>
    <xf numFmtId="164" fontId="44" fillId="2" borderId="0" xfId="0" applyNumberFormat="1" applyFont="1" applyFill="1" applyAlignment="1">
      <alignment horizontal="left"/>
    </xf>
    <xf numFmtId="164" fontId="40" fillId="2" borderId="3" xfId="0" applyNumberFormat="1" applyFont="1" applyFill="1" applyBorder="1" applyAlignment="1">
      <alignment horizontal="center"/>
    </xf>
    <xf numFmtId="164" fontId="74" fillId="2" borderId="0" xfId="0" applyNumberFormat="1" applyFont="1" applyFill="1" applyBorder="1" applyAlignment="1">
      <alignment horizontal="right"/>
    </xf>
    <xf numFmtId="0" fontId="70" fillId="2" borderId="0" xfId="0" applyFont="1" applyFill="1" applyBorder="1" applyAlignment="1">
      <alignment horizontal="right"/>
    </xf>
    <xf numFmtId="164" fontId="74" fillId="2" borderId="0" xfId="0" applyNumberFormat="1" applyFont="1" applyFill="1" applyBorder="1" applyAlignment="1">
      <alignment horizontal="center"/>
    </xf>
    <xf numFmtId="164" fontId="70" fillId="2" borderId="0" xfId="0" applyNumberFormat="1" applyFont="1" applyFill="1" applyBorder="1" applyAlignment="1">
      <alignment horizontal="right"/>
    </xf>
    <xf numFmtId="164" fontId="74" fillId="2" borderId="0" xfId="0" applyNumberFormat="1" applyFont="1" applyFill="1" applyBorder="1" applyAlignment="1"/>
    <xf numFmtId="164" fontId="69" fillId="2" borderId="0" xfId="0" applyNumberFormat="1" applyFont="1" applyFill="1" applyBorder="1" applyAlignment="1">
      <alignment vertical="center" wrapText="1"/>
    </xf>
    <xf numFmtId="164" fontId="69" fillId="2" borderId="0" xfId="0" applyNumberFormat="1" applyFont="1" applyFill="1" applyBorder="1" applyAlignment="1">
      <alignment vertical="center"/>
    </xf>
    <xf numFmtId="164" fontId="41" fillId="2" borderId="3" xfId="0" applyNumberFormat="1" applyFont="1" applyFill="1" applyBorder="1" applyAlignment="1">
      <alignment horizontal="center"/>
    </xf>
    <xf numFmtId="164" fontId="69" fillId="2" borderId="0" xfId="0" applyNumberFormat="1" applyFont="1" applyFill="1" applyBorder="1" applyAlignment="1">
      <alignment horizontal="center"/>
    </xf>
    <xf numFmtId="164" fontId="69" fillId="2" borderId="0" xfId="0" applyNumberFormat="1" applyFont="1" applyFill="1" applyBorder="1"/>
    <xf numFmtId="164" fontId="76" fillId="2" borderId="0" xfId="0" applyNumberFormat="1" applyFont="1" applyFill="1" applyBorder="1" applyAlignment="1">
      <alignment horizontal="center" vertical="center" wrapText="1"/>
    </xf>
    <xf numFmtId="164" fontId="77" fillId="2" borderId="0" xfId="0" applyNumberFormat="1" applyFont="1" applyFill="1" applyBorder="1"/>
    <xf numFmtId="164" fontId="77" fillId="2" borderId="0" xfId="0" applyNumberFormat="1" applyFont="1" applyFill="1" applyBorder="1" applyAlignment="1">
      <alignment horizontal="center" vertical="center"/>
    </xf>
    <xf numFmtId="164" fontId="77" fillId="2" borderId="0" xfId="0" applyNumberFormat="1" applyFont="1" applyFill="1" applyBorder="1" applyAlignment="1">
      <alignment horizontal="center" vertical="center" wrapText="1"/>
    </xf>
    <xf numFmtId="0" fontId="44" fillId="2" borderId="0" xfId="0" applyFont="1" applyFill="1"/>
    <xf numFmtId="165" fontId="9" fillId="2" borderId="1" xfId="0" applyNumberFormat="1" applyFont="1" applyFill="1" applyBorder="1" applyAlignment="1">
      <alignment horizontal="left" vertical="center" wrapText="1"/>
    </xf>
    <xf numFmtId="164" fontId="9" fillId="2" borderId="26" xfId="0" applyNumberFormat="1" applyFont="1" applyFill="1" applyBorder="1" applyAlignment="1">
      <alignment horizontal="center" vertical="center" wrapText="1"/>
    </xf>
    <xf numFmtId="164" fontId="9" fillId="2" borderId="41" xfId="0" applyNumberFormat="1" applyFont="1" applyFill="1" applyBorder="1" applyAlignment="1">
      <alignment horizontal="center" vertical="center" wrapText="1"/>
    </xf>
    <xf numFmtId="165" fontId="40" fillId="2" borderId="12" xfId="0" applyNumberFormat="1" applyFont="1" applyFill="1" applyBorder="1" applyAlignment="1">
      <alignment horizontal="left" vertical="center" wrapText="1"/>
    </xf>
    <xf numFmtId="164" fontId="40" fillId="2" borderId="31" xfId="0" applyNumberFormat="1" applyFont="1" applyFill="1" applyBorder="1" applyAlignment="1">
      <alignment horizontal="center" vertical="center" wrapText="1"/>
    </xf>
    <xf numFmtId="174" fontId="51" fillId="2" borderId="0" xfId="0" applyNumberFormat="1" applyFont="1" applyFill="1" applyBorder="1" applyAlignment="1">
      <alignment horizontal="center" vertical="center" wrapText="1"/>
    </xf>
    <xf numFmtId="175" fontId="51" fillId="2" borderId="0" xfId="0" applyNumberFormat="1" applyFont="1" applyFill="1" applyBorder="1" applyAlignment="1">
      <alignment horizontal="center" vertical="center" wrapText="1"/>
    </xf>
    <xf numFmtId="164" fontId="40" fillId="2" borderId="2" xfId="0" applyNumberFormat="1" applyFont="1" applyFill="1" applyBorder="1" applyAlignment="1">
      <alignment horizontal="center" vertical="center" wrapText="1"/>
    </xf>
    <xf numFmtId="164" fontId="26" fillId="2" borderId="0" xfId="0" applyNumberFormat="1" applyFont="1" applyFill="1" applyBorder="1" applyAlignment="1">
      <alignment horizontal="center" vertical="center"/>
    </xf>
    <xf numFmtId="164" fontId="33" fillId="2" borderId="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41" fillId="2" borderId="5" xfId="0" applyNumberFormat="1" applyFont="1" applyFill="1" applyBorder="1" applyAlignment="1">
      <alignment horizontal="center" vertical="center" wrapText="1"/>
    </xf>
    <xf numFmtId="164" fontId="71" fillId="2" borderId="0" xfId="0" applyNumberFormat="1" applyFont="1" applyFill="1" applyBorder="1" applyAlignment="1"/>
    <xf numFmtId="0" fontId="77" fillId="2" borderId="0" xfId="0" applyFont="1" applyFill="1" applyBorder="1"/>
    <xf numFmtId="165" fontId="19" fillId="2" borderId="3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65" fontId="19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164" fontId="39" fillId="2" borderId="0" xfId="0" applyNumberFormat="1" applyFont="1" applyFill="1" applyBorder="1"/>
    <xf numFmtId="164" fontId="0" fillId="2" borderId="0" xfId="0" applyNumberFormat="1" applyFill="1" applyAlignment="1">
      <alignment wrapText="1"/>
    </xf>
    <xf numFmtId="0" fontId="80" fillId="2" borderId="0" xfId="0" applyFont="1" applyFill="1"/>
    <xf numFmtId="164" fontId="80" fillId="2" borderId="0" xfId="0" applyNumberFormat="1" applyFont="1" applyFill="1"/>
    <xf numFmtId="164" fontId="33" fillId="2" borderId="8" xfId="0" applyNumberFormat="1" applyFont="1" applyFill="1" applyBorder="1" applyAlignment="1">
      <alignment horizontal="center" vertical="center"/>
    </xf>
    <xf numFmtId="168" fontId="57" fillId="2" borderId="0" xfId="0" applyNumberFormat="1" applyFont="1" applyFill="1"/>
    <xf numFmtId="168" fontId="59" fillId="2" borderId="0" xfId="0" applyNumberFormat="1" applyFont="1" applyFill="1"/>
    <xf numFmtId="0" fontId="81" fillId="2" borderId="0" xfId="0" applyFont="1" applyFill="1"/>
    <xf numFmtId="168" fontId="57" fillId="2" borderId="0" xfId="0" applyNumberFormat="1" applyFont="1" applyFill="1" applyAlignment="1">
      <alignment horizontal="left"/>
    </xf>
    <xf numFmtId="0" fontId="5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40" fillId="5" borderId="3" xfId="0" applyNumberFormat="1" applyFont="1" applyFill="1" applyBorder="1" applyAlignment="1">
      <alignment horizontal="center" vertical="center"/>
    </xf>
    <xf numFmtId="164" fontId="41" fillId="5" borderId="3" xfId="0" applyNumberFormat="1" applyFont="1" applyFill="1" applyBorder="1" applyAlignment="1">
      <alignment horizontal="center" vertical="center"/>
    </xf>
    <xf numFmtId="164" fontId="40" fillId="5" borderId="8" xfId="0" applyNumberFormat="1" applyFont="1" applyFill="1" applyBorder="1" applyAlignment="1">
      <alignment horizontal="center" vertical="center" wrapText="1"/>
    </xf>
    <xf numFmtId="164" fontId="33" fillId="5" borderId="5" xfId="0" applyNumberFormat="1" applyFont="1" applyFill="1" applyBorder="1" applyAlignment="1">
      <alignment horizontal="center" vertical="center"/>
    </xf>
    <xf numFmtId="164" fontId="40" fillId="5" borderId="3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/>
    </xf>
    <xf numFmtId="164" fontId="11" fillId="2" borderId="5" xfId="0" applyNumberFormat="1" applyFont="1" applyFill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 wrapText="1"/>
    </xf>
    <xf numFmtId="164" fontId="5" fillId="2" borderId="26" xfId="0" applyNumberFormat="1" applyFont="1" applyFill="1" applyBorder="1" applyAlignment="1">
      <alignment horizontal="center"/>
    </xf>
    <xf numFmtId="164" fontId="11" fillId="2" borderId="31" xfId="0" applyNumberFormat="1" applyFont="1" applyFill="1" applyBorder="1" applyAlignment="1">
      <alignment horizontal="center" vertical="center" wrapText="1"/>
    </xf>
    <xf numFmtId="164" fontId="5" fillId="2" borderId="41" xfId="0" applyNumberFormat="1" applyFont="1" applyFill="1" applyBorder="1" applyAlignment="1">
      <alignment horizontal="center"/>
    </xf>
    <xf numFmtId="164" fontId="11" fillId="2" borderId="41" xfId="0" applyNumberFormat="1" applyFont="1" applyFill="1" applyBorder="1" applyAlignment="1">
      <alignment horizontal="center" vertical="center" wrapText="1"/>
    </xf>
    <xf numFmtId="164" fontId="11" fillId="2" borderId="31" xfId="0" applyNumberFormat="1" applyFont="1" applyFill="1" applyBorder="1" applyAlignment="1">
      <alignment horizontal="center" vertical="center"/>
    </xf>
    <xf numFmtId="164" fontId="11" fillId="2" borderId="41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164" fontId="11" fillId="2" borderId="28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26" xfId="0" applyNumberFormat="1" applyFont="1" applyFill="1" applyBorder="1" applyAlignment="1">
      <alignment horizontal="center" vertical="center" wrapText="1"/>
    </xf>
    <xf numFmtId="164" fontId="11" fillId="2" borderId="45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164" fontId="70" fillId="2" borderId="0" xfId="0" applyNumberFormat="1" applyFont="1" applyFill="1" applyBorder="1" applyAlignment="1">
      <alignment horizontal="center" vertical="center"/>
    </xf>
    <xf numFmtId="2" fontId="23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4" fontId="60" fillId="2" borderId="3" xfId="0" applyNumberFormat="1" applyFont="1" applyFill="1" applyBorder="1" applyAlignment="1">
      <alignment horizontal="center" vertical="center" wrapText="1"/>
    </xf>
    <xf numFmtId="164" fontId="41" fillId="2" borderId="8" xfId="0" applyNumberFormat="1" applyFont="1" applyFill="1" applyBorder="1" applyAlignment="1">
      <alignment horizontal="center" vertical="center" wrapText="1"/>
    </xf>
    <xf numFmtId="170" fontId="57" fillId="2" borderId="0" xfId="0" applyNumberFormat="1" applyFont="1" applyFill="1" applyAlignment="1">
      <alignment horizontal="left"/>
    </xf>
    <xf numFmtId="170" fontId="57" fillId="2" borderId="0" xfId="0" applyNumberFormat="1" applyFont="1" applyFill="1"/>
    <xf numFmtId="0" fontId="70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top" wrapText="1"/>
    </xf>
    <xf numFmtId="0" fontId="54" fillId="0" borderId="1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left" vertical="center" wrapText="1"/>
    </xf>
    <xf numFmtId="0" fontId="54" fillId="0" borderId="4" xfId="0" applyFont="1" applyBorder="1" applyAlignment="1">
      <alignment horizontal="left" vertical="center" wrapText="1"/>
    </xf>
    <xf numFmtId="0" fontId="54" fillId="0" borderId="2" xfId="0" applyFont="1" applyBorder="1" applyAlignment="1">
      <alignment horizontal="left" vertical="center" wrapText="1"/>
    </xf>
    <xf numFmtId="16" fontId="54" fillId="0" borderId="3" xfId="0" applyNumberFormat="1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56" fillId="2" borderId="4" xfId="0" applyFont="1" applyFill="1" applyBorder="1" applyAlignment="1">
      <alignment horizontal="center" vertical="center" wrapText="1"/>
    </xf>
    <xf numFmtId="0" fontId="56" fillId="2" borderId="2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left" vertical="center" wrapText="1"/>
    </xf>
    <xf numFmtId="0" fontId="56" fillId="2" borderId="4" xfId="0" applyFont="1" applyFill="1" applyBorder="1" applyAlignment="1">
      <alignment horizontal="left" vertical="center" wrapText="1"/>
    </xf>
    <xf numFmtId="0" fontId="56" fillId="2" borderId="2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/>
    </xf>
    <xf numFmtId="2" fontId="11" fillId="2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" fontId="17" fillId="2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67" fontId="17" fillId="0" borderId="3" xfId="0" applyNumberFormat="1" applyFont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2" borderId="4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66" fontId="5" fillId="2" borderId="3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4" fontId="28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4" fontId="49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 wrapText="1"/>
    </xf>
    <xf numFmtId="167" fontId="17" fillId="2" borderId="4" xfId="0" applyNumberFormat="1" applyFont="1" applyFill="1" applyBorder="1" applyAlignment="1">
      <alignment horizontal="center" vertical="center" wrapText="1"/>
    </xf>
    <xf numFmtId="167" fontId="17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7" fontId="17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2" fontId="40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41" fillId="0" borderId="0" xfId="0" applyFont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 wrapText="1"/>
    </xf>
    <xf numFmtId="167" fontId="23" fillId="0" borderId="1" xfId="0" applyNumberFormat="1" applyFont="1" applyBorder="1" applyAlignment="1">
      <alignment horizontal="center" vertical="center" wrapText="1"/>
    </xf>
    <xf numFmtId="167" fontId="23" fillId="0" borderId="2" xfId="0" applyNumberFormat="1" applyFont="1" applyBorder="1" applyAlignment="1">
      <alignment horizontal="center" vertical="center" wrapText="1"/>
    </xf>
    <xf numFmtId="167" fontId="24" fillId="2" borderId="1" xfId="0" applyNumberFormat="1" applyFont="1" applyFill="1" applyBorder="1" applyAlignment="1">
      <alignment horizontal="center" vertical="center" wrapText="1"/>
    </xf>
    <xf numFmtId="167" fontId="24" fillId="2" borderId="2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167" fontId="24" fillId="2" borderId="3" xfId="0" applyNumberFormat="1" applyFont="1" applyFill="1" applyBorder="1" applyAlignment="1">
      <alignment horizontal="center" vertical="center" wrapText="1"/>
    </xf>
    <xf numFmtId="49" fontId="40" fillId="2" borderId="3" xfId="0" applyNumberFormat="1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167" fontId="23" fillId="2" borderId="3" xfId="0" applyNumberFormat="1" applyFont="1" applyFill="1" applyBorder="1" applyAlignment="1">
      <alignment horizontal="center" vertical="center" wrapText="1"/>
    </xf>
    <xf numFmtId="16" fontId="9" fillId="2" borderId="3" xfId="0" applyNumberFormat="1" applyFont="1" applyFill="1" applyBorder="1" applyAlignment="1">
      <alignment horizontal="center" vertical="center"/>
    </xf>
    <xf numFmtId="2" fontId="40" fillId="2" borderId="3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center" wrapText="1"/>
    </xf>
    <xf numFmtId="16" fontId="33" fillId="2" borderId="3" xfId="0" applyNumberFormat="1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left" vertical="center"/>
    </xf>
    <xf numFmtId="0" fontId="5" fillId="2" borderId="0" xfId="0" applyFont="1" applyFill="1" applyAlignment="1">
      <alignment horizontal="right" vertical="center" wrapText="1"/>
    </xf>
    <xf numFmtId="49" fontId="40" fillId="2" borderId="3" xfId="0" applyNumberFormat="1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2" fontId="40" fillId="2" borderId="3" xfId="0" applyNumberFormat="1" applyFont="1" applyFill="1" applyBorder="1" applyAlignment="1">
      <alignment horizontal="center" vertical="center" wrapText="1"/>
    </xf>
    <xf numFmtId="169" fontId="40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2" fontId="24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1" fontId="24" fillId="2" borderId="3" xfId="0" applyNumberFormat="1" applyFont="1" applyFill="1" applyBorder="1" applyAlignment="1">
      <alignment horizontal="center" vertical="center" wrapText="1"/>
    </xf>
    <xf numFmtId="170" fontId="24" fillId="2" borderId="3" xfId="0" applyNumberFormat="1" applyFont="1" applyFill="1" applyBorder="1" applyAlignment="1">
      <alignment horizontal="center" vertical="center" wrapText="1"/>
    </xf>
    <xf numFmtId="1" fontId="40" fillId="2" borderId="1" xfId="0" applyNumberFormat="1" applyFont="1" applyFill="1" applyBorder="1" applyAlignment="1">
      <alignment horizontal="center" vertical="center"/>
    </xf>
    <xf numFmtId="1" fontId="40" fillId="2" borderId="4" xfId="0" applyNumberFormat="1" applyFont="1" applyFill="1" applyBorder="1" applyAlignment="1">
      <alignment horizontal="center" vertical="center"/>
    </xf>
    <xf numFmtId="1" fontId="40" fillId="2" borderId="2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2" fontId="23" fillId="2" borderId="2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1" fontId="23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 wrapText="1"/>
    </xf>
    <xf numFmtId="2" fontId="24" fillId="2" borderId="4" xfId="0" applyNumberFormat="1" applyFont="1" applyFill="1" applyBorder="1" applyAlignment="1">
      <alignment horizontal="center" vertical="center" wrapText="1"/>
    </xf>
    <xf numFmtId="2" fontId="24" fillId="2" borderId="2" xfId="0" applyNumberFormat="1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43" fillId="2" borderId="1" xfId="0" applyFont="1" applyFill="1" applyBorder="1" applyAlignment="1">
      <alignment horizontal="left" vertical="center" wrapText="1"/>
    </xf>
    <xf numFmtId="0" fontId="43" fillId="2" borderId="4" xfId="0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164" fontId="76" fillId="2" borderId="0" xfId="0" applyNumberFormat="1" applyFont="1" applyFill="1" applyBorder="1" applyAlignment="1">
      <alignment horizontal="center" vertical="center" wrapText="1"/>
    </xf>
    <xf numFmtId="164" fontId="70" fillId="2" borderId="0" xfId="0" applyNumberFormat="1" applyFont="1" applyFill="1" applyBorder="1" applyAlignment="1">
      <alignment horizontal="center" vertical="center"/>
    </xf>
    <xf numFmtId="49" fontId="9" fillId="2" borderId="28" xfId="0" applyNumberFormat="1" applyFont="1" applyFill="1" applyBorder="1" applyAlignment="1">
      <alignment horizontal="center" vertical="center"/>
    </xf>
    <xf numFmtId="49" fontId="9" fillId="2" borderId="34" xfId="0" applyNumberFormat="1" applyFont="1" applyFill="1" applyBorder="1" applyAlignment="1">
      <alignment horizontal="center" vertical="center"/>
    </xf>
    <xf numFmtId="49" fontId="9" fillId="2" borderId="29" xfId="0" applyNumberFormat="1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left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38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69" fillId="2" borderId="0" xfId="0" applyFont="1" applyFill="1" applyBorder="1" applyAlignment="1">
      <alignment horizontal="center" vertical="center" wrapText="1"/>
    </xf>
    <xf numFmtId="0" fontId="48" fillId="2" borderId="4" xfId="0" applyFont="1" applyFill="1" applyBorder="1" applyAlignment="1">
      <alignment horizontal="left" vertical="center" wrapText="1"/>
    </xf>
    <xf numFmtId="0" fontId="48" fillId="2" borderId="2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left" vertical="center" wrapText="1"/>
    </xf>
    <xf numFmtId="164" fontId="26" fillId="2" borderId="0" xfId="0" applyNumberFormat="1" applyFont="1" applyFill="1" applyBorder="1" applyAlignment="1">
      <alignment horizontal="center" vertical="center"/>
    </xf>
    <xf numFmtId="1" fontId="23" fillId="2" borderId="4" xfId="0" applyNumberFormat="1" applyFont="1" applyFill="1" applyBorder="1" applyAlignment="1">
      <alignment horizontal="center" vertical="center" wrapText="1"/>
    </xf>
    <xf numFmtId="1" fontId="23" fillId="2" borderId="2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33" fillId="2" borderId="4" xfId="0" applyFont="1" applyFill="1" applyBorder="1" applyAlignment="1">
      <alignment vertical="center" wrapText="1"/>
    </xf>
    <xf numFmtId="0" fontId="33" fillId="2" borderId="2" xfId="0" applyFont="1" applyFill="1" applyBorder="1" applyAlignment="1">
      <alignment vertical="center" wrapText="1"/>
    </xf>
    <xf numFmtId="170" fontId="9" fillId="2" borderId="1" xfId="0" applyNumberFormat="1" applyFont="1" applyFill="1" applyBorder="1" applyAlignment="1">
      <alignment horizontal="center" vertical="center"/>
    </xf>
    <xf numFmtId="170" fontId="9" fillId="2" borderId="4" xfId="0" applyNumberFormat="1" applyFont="1" applyFill="1" applyBorder="1" applyAlignment="1">
      <alignment horizontal="center" vertical="center"/>
    </xf>
    <xf numFmtId="170" fontId="9" fillId="2" borderId="2" xfId="0" applyNumberFormat="1" applyFont="1" applyFill="1" applyBorder="1" applyAlignment="1">
      <alignment horizontal="center" vertical="center"/>
    </xf>
    <xf numFmtId="170" fontId="23" fillId="2" borderId="1" xfId="0" applyNumberFormat="1" applyFont="1" applyFill="1" applyBorder="1" applyAlignment="1">
      <alignment horizontal="center" vertical="center" wrapText="1"/>
    </xf>
    <xf numFmtId="170" fontId="23" fillId="2" borderId="4" xfId="0" applyNumberFormat="1" applyFont="1" applyFill="1" applyBorder="1" applyAlignment="1">
      <alignment horizontal="center" vertical="center" wrapText="1"/>
    </xf>
    <xf numFmtId="170" fontId="23" fillId="2" borderId="2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23" fillId="2" borderId="4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 wrapText="1"/>
    </xf>
    <xf numFmtId="4" fontId="24" fillId="2" borderId="2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left" vertical="center" wrapText="1"/>
    </xf>
    <xf numFmtId="0" fontId="42" fillId="2" borderId="4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horizontal="left" vertical="center" wrapText="1"/>
    </xf>
    <xf numFmtId="4" fontId="23" fillId="2" borderId="2" xfId="0" applyNumberFormat="1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/>
    </xf>
    <xf numFmtId="49" fontId="33" fillId="2" borderId="4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 wrapText="1"/>
    </xf>
    <xf numFmtId="4" fontId="40" fillId="2" borderId="2" xfId="0" applyNumberFormat="1" applyFont="1" applyFill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/>
    </xf>
    <xf numFmtId="49" fontId="40" fillId="2" borderId="4" xfId="0" applyNumberFormat="1" applyFont="1" applyFill="1" applyBorder="1" applyAlignment="1">
      <alignment horizontal="center" vertical="center"/>
    </xf>
    <xf numFmtId="49" fontId="40" fillId="2" borderId="2" xfId="0" applyNumberFormat="1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4" fontId="33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4" fontId="23" fillId="2" borderId="3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4" fontId="40" fillId="2" borderId="3" xfId="0" applyNumberFormat="1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left" vertical="center" wrapText="1"/>
    </xf>
    <xf numFmtId="2" fontId="23" fillId="2" borderId="3" xfId="0" applyNumberFormat="1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left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70" fillId="2" borderId="27" xfId="0" applyFont="1" applyFill="1" applyBorder="1" applyAlignment="1">
      <alignment horizontal="left" vertical="center" wrapText="1"/>
    </xf>
    <xf numFmtId="0" fontId="70" fillId="2" borderId="0" xfId="0" applyFont="1" applyFill="1" applyBorder="1" applyAlignment="1">
      <alignment horizontal="left" vertical="center" wrapText="1"/>
    </xf>
    <xf numFmtId="0" fontId="33" fillId="2" borderId="3" xfId="0" applyFont="1" applyFill="1" applyBorder="1" applyAlignment="1">
      <alignment horizontal="left" vertical="center" wrapText="1"/>
    </xf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left" vertical="center" wrapText="1"/>
    </xf>
    <xf numFmtId="0" fontId="40" fillId="2" borderId="3" xfId="0" applyFont="1" applyFill="1" applyBorder="1" applyAlignment="1">
      <alignment horizontal="left" vertical="center" wrapText="1"/>
    </xf>
    <xf numFmtId="2" fontId="40" fillId="2" borderId="1" xfId="0" applyNumberFormat="1" applyFont="1" applyFill="1" applyBorder="1" applyAlignment="1">
      <alignment horizontal="center" vertical="center"/>
    </xf>
    <xf numFmtId="2" fontId="40" fillId="2" borderId="4" xfId="0" applyNumberFormat="1" applyFont="1" applyFill="1" applyBorder="1" applyAlignment="1">
      <alignment horizontal="center" vertical="center"/>
    </xf>
    <xf numFmtId="2" fontId="40" fillId="2" borderId="2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horizontal="center" vertical="center" wrapText="1"/>
    </xf>
    <xf numFmtId="0" fontId="40" fillId="2" borderId="27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2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9" fontId="48" fillId="2" borderId="3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 wrapText="1"/>
    </xf>
    <xf numFmtId="1" fontId="33" fillId="2" borderId="4" xfId="0" applyNumberFormat="1" applyFont="1" applyFill="1" applyBorder="1" applyAlignment="1">
      <alignment horizontal="center" vertical="center" wrapText="1"/>
    </xf>
    <xf numFmtId="49" fontId="48" fillId="2" borderId="1" xfId="0" applyNumberFormat="1" applyFont="1" applyFill="1" applyBorder="1" applyAlignment="1">
      <alignment horizontal="center" vertical="center"/>
    </xf>
    <xf numFmtId="49" fontId="48" fillId="2" borderId="4" xfId="0" applyNumberFormat="1" applyFont="1" applyFill="1" applyBorder="1" applyAlignment="1">
      <alignment horizontal="center" vertical="center"/>
    </xf>
    <xf numFmtId="49" fontId="48" fillId="2" borderId="2" xfId="0" applyNumberFormat="1" applyFont="1" applyFill="1" applyBorder="1" applyAlignment="1">
      <alignment horizontal="center" vertical="center"/>
    </xf>
    <xf numFmtId="49" fontId="48" fillId="2" borderId="1" xfId="0" applyNumberFormat="1" applyFont="1" applyFill="1" applyBorder="1" applyAlignment="1">
      <alignment horizontal="center" vertical="center" shrinkToFit="1"/>
    </xf>
    <xf numFmtId="49" fontId="48" fillId="2" borderId="4" xfId="0" applyNumberFormat="1" applyFont="1" applyFill="1" applyBorder="1" applyAlignment="1">
      <alignment horizontal="center" vertical="center" shrinkToFit="1"/>
    </xf>
    <xf numFmtId="49" fontId="48" fillId="2" borderId="2" xfId="0" applyNumberFormat="1" applyFont="1" applyFill="1" applyBorder="1" applyAlignment="1">
      <alignment horizontal="center" vertical="center" shrinkToFit="1"/>
    </xf>
    <xf numFmtId="49" fontId="33" fillId="2" borderId="1" xfId="0" applyNumberFormat="1" applyFont="1" applyFill="1" applyBorder="1" applyAlignment="1">
      <alignment horizontal="center" vertical="center" shrinkToFit="1"/>
    </xf>
    <xf numFmtId="49" fontId="33" fillId="2" borderId="4" xfId="0" applyNumberFormat="1" applyFont="1" applyFill="1" applyBorder="1" applyAlignment="1">
      <alignment horizontal="center" vertical="center" shrinkToFit="1"/>
    </xf>
    <xf numFmtId="49" fontId="33" fillId="2" borderId="2" xfId="0" applyNumberFormat="1" applyFont="1" applyFill="1" applyBorder="1" applyAlignment="1">
      <alignment horizontal="center" vertical="center" shrinkToFit="1"/>
    </xf>
    <xf numFmtId="1" fontId="9" fillId="2" borderId="3" xfId="0" applyNumberFormat="1" applyFont="1" applyFill="1" applyBorder="1" applyAlignment="1">
      <alignment horizontal="center" vertical="center"/>
    </xf>
    <xf numFmtId="170" fontId="24" fillId="2" borderId="1" xfId="0" applyNumberFormat="1" applyFont="1" applyFill="1" applyBorder="1" applyAlignment="1">
      <alignment horizontal="center" vertical="center" wrapText="1"/>
    </xf>
    <xf numFmtId="170" fontId="24" fillId="2" borderId="4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8" fillId="2" borderId="3" xfId="0" applyFont="1" applyFill="1" applyBorder="1" applyAlignment="1">
      <alignment horizontal="center" vertical="center" wrapText="1"/>
    </xf>
    <xf numFmtId="49" fontId="33" fillId="2" borderId="3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1" fontId="33" fillId="2" borderId="4" xfId="0" applyNumberFormat="1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vertical="center" wrapText="1"/>
    </xf>
    <xf numFmtId="1" fontId="33" fillId="2" borderId="3" xfId="0" applyNumberFormat="1" applyFont="1" applyFill="1" applyBorder="1" applyAlignment="1">
      <alignment horizontal="center" vertical="center"/>
    </xf>
    <xf numFmtId="170" fontId="41" fillId="2" borderId="1" xfId="0" applyNumberFormat="1" applyFont="1" applyFill="1" applyBorder="1" applyAlignment="1">
      <alignment horizontal="center" vertical="center" wrapText="1"/>
    </xf>
    <xf numFmtId="170" fontId="41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16" fontId="7" fillId="0" borderId="1" xfId="0" applyNumberFormat="1" applyFont="1" applyFill="1" applyBorder="1" applyAlignment="1">
      <alignment horizontal="center" vertical="center"/>
    </xf>
    <xf numFmtId="16" fontId="7" fillId="0" borderId="2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16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_свод по домам 038 содер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opLeftCell="A4" zoomScale="80" zoomScaleNormal="80" zoomScaleSheetLayoutView="100" workbookViewId="0">
      <selection activeCell="P10" sqref="P10"/>
    </sheetView>
  </sheetViews>
  <sheetFormatPr defaultColWidth="8.88671875" defaultRowHeight="13.8"/>
  <cols>
    <col min="1" max="1" width="3.88671875" style="1" customWidth="1"/>
    <col min="2" max="2" width="24" style="1" customWidth="1"/>
    <col min="3" max="3" width="21.5546875" style="1" customWidth="1"/>
    <col min="4" max="4" width="17.6640625" style="1" customWidth="1"/>
    <col min="5" max="5" width="15.6640625" style="1" customWidth="1"/>
    <col min="6" max="7" width="16.109375" style="1" customWidth="1"/>
    <col min="8" max="8" width="15.33203125" style="1" customWidth="1"/>
    <col min="9" max="9" width="16.33203125" style="1" customWidth="1"/>
    <col min="10" max="10" width="16.5546875" style="1" customWidth="1"/>
    <col min="11" max="11" width="16.33203125" style="1" customWidth="1"/>
    <col min="12" max="12" width="14.6640625" style="1" customWidth="1"/>
    <col min="13" max="13" width="8.88671875" style="1"/>
    <col min="14" max="14" width="17.5546875" style="1" bestFit="1" customWidth="1"/>
    <col min="15" max="16384" width="8.88671875" style="1"/>
  </cols>
  <sheetData>
    <row r="1" spans="1:14" ht="68.400000000000006" customHeight="1">
      <c r="A1" s="416"/>
      <c r="B1" s="416"/>
      <c r="C1" s="416"/>
      <c r="D1" s="416"/>
      <c r="E1" s="416"/>
      <c r="F1" s="416"/>
      <c r="G1" s="416"/>
      <c r="I1" s="792" t="s">
        <v>973</v>
      </c>
      <c r="J1" s="792"/>
      <c r="K1" s="792"/>
      <c r="L1" s="792"/>
    </row>
    <row r="2" spans="1:14" ht="37.950000000000003" customHeight="1">
      <c r="A2" s="802" t="s">
        <v>487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</row>
    <row r="3" spans="1:14" ht="14.4" customHeight="1">
      <c r="A3" s="417"/>
      <c r="B3" s="417"/>
      <c r="C3" s="417"/>
      <c r="D3" s="417"/>
      <c r="E3" s="416"/>
      <c r="F3" s="416"/>
      <c r="G3" s="416"/>
      <c r="H3" s="416"/>
      <c r="I3" s="416"/>
      <c r="J3" s="416"/>
      <c r="K3" s="416"/>
    </row>
    <row r="4" spans="1:14" ht="39.75" customHeight="1">
      <c r="A4" s="800" t="s">
        <v>0</v>
      </c>
      <c r="B4" s="800" t="s">
        <v>1</v>
      </c>
      <c r="C4" s="800" t="s">
        <v>2</v>
      </c>
      <c r="D4" s="800" t="s">
        <v>115</v>
      </c>
      <c r="E4" s="809" t="s">
        <v>74</v>
      </c>
      <c r="F4" s="810"/>
      <c r="G4" s="810"/>
      <c r="H4" s="810"/>
      <c r="I4" s="810"/>
      <c r="J4" s="810"/>
      <c r="K4" s="810"/>
      <c r="L4" s="811"/>
    </row>
    <row r="5" spans="1:14" ht="39" customHeight="1">
      <c r="A5" s="800"/>
      <c r="B5" s="800"/>
      <c r="C5" s="800"/>
      <c r="D5" s="800"/>
      <c r="E5" s="418">
        <v>2018</v>
      </c>
      <c r="F5" s="418">
        <v>2019</v>
      </c>
      <c r="G5" s="418">
        <v>2020</v>
      </c>
      <c r="H5" s="418">
        <v>2021</v>
      </c>
      <c r="I5" s="418">
        <v>2022</v>
      </c>
      <c r="J5" s="420">
        <v>2023</v>
      </c>
      <c r="K5" s="420">
        <v>2024</v>
      </c>
      <c r="L5" s="638">
        <v>2025</v>
      </c>
    </row>
    <row r="6" spans="1:14" ht="33" customHeight="1">
      <c r="A6" s="803" t="s">
        <v>3</v>
      </c>
      <c r="B6" s="806" t="s">
        <v>57</v>
      </c>
      <c r="C6" s="429" t="s">
        <v>4</v>
      </c>
      <c r="D6" s="430">
        <f>SUM(E6:L6)</f>
        <v>1357563.3254700003</v>
      </c>
      <c r="E6" s="430">
        <f>SUM(E7:E10)</f>
        <v>136763.02526000002</v>
      </c>
      <c r="F6" s="430">
        <f t="shared" ref="F6:K6" si="0">SUM(F7:F10)</f>
        <v>208477.06684999994</v>
      </c>
      <c r="G6" s="430">
        <f t="shared" si="0"/>
        <v>379175.51519000001</v>
      </c>
      <c r="H6" s="430">
        <f t="shared" si="0"/>
        <v>87156.014750000002</v>
      </c>
      <c r="I6" s="430">
        <f t="shared" si="0"/>
        <v>240008.32256</v>
      </c>
      <c r="J6" s="430">
        <f t="shared" si="0"/>
        <v>159975.76977000001</v>
      </c>
      <c r="K6" s="430">
        <f t="shared" si="0"/>
        <v>72753.698210000002</v>
      </c>
      <c r="L6" s="430">
        <f t="shared" ref="L6" si="1">SUM(L7:L10)</f>
        <v>73253.912880000003</v>
      </c>
      <c r="N6" s="238"/>
    </row>
    <row r="7" spans="1:14" ht="33" customHeight="1">
      <c r="A7" s="804"/>
      <c r="B7" s="807"/>
      <c r="C7" s="429" t="s">
        <v>26</v>
      </c>
      <c r="D7" s="430">
        <f t="shared" ref="D7:D19" si="2">SUM(E7:L7)</f>
        <v>608276.82304686285</v>
      </c>
      <c r="E7" s="430">
        <f>E12+E16</f>
        <v>12776.7727</v>
      </c>
      <c r="F7" s="430">
        <f t="shared" ref="F7:K7" si="3">F12+F16</f>
        <v>69903.157279999999</v>
      </c>
      <c r="G7" s="430">
        <f t="shared" si="3"/>
        <v>336897.41795686283</v>
      </c>
      <c r="H7" s="430">
        <f t="shared" si="3"/>
        <v>11725.551149999999</v>
      </c>
      <c r="I7" s="430">
        <f t="shared" si="3"/>
        <v>176973.92395999999</v>
      </c>
      <c r="J7" s="430">
        <f t="shared" si="3"/>
        <v>0</v>
      </c>
      <c r="K7" s="430">
        <f t="shared" si="3"/>
        <v>0</v>
      </c>
      <c r="L7" s="430">
        <f t="shared" ref="L7" si="4">L12+L16</f>
        <v>0</v>
      </c>
    </row>
    <row r="8" spans="1:14" ht="27" customHeight="1">
      <c r="A8" s="804"/>
      <c r="B8" s="807"/>
      <c r="C8" s="429" t="s">
        <v>5</v>
      </c>
      <c r="D8" s="430">
        <f t="shared" si="2"/>
        <v>520081.58669440006</v>
      </c>
      <c r="E8" s="430">
        <f t="shared" ref="E8:K9" si="5">E13+E17</f>
        <v>104285.22949000001</v>
      </c>
      <c r="F8" s="430">
        <f t="shared" si="5"/>
        <v>89738.125109999964</v>
      </c>
      <c r="G8" s="430">
        <f t="shared" si="5"/>
        <v>9289.5337944000112</v>
      </c>
      <c r="H8" s="430">
        <f t="shared" si="5"/>
        <v>24421.236799999999</v>
      </c>
      <c r="I8" s="430">
        <f t="shared" si="5"/>
        <v>28604.153639999997</v>
      </c>
      <c r="J8" s="430">
        <f t="shared" si="5"/>
        <v>142581.10262000002</v>
      </c>
      <c r="K8" s="430">
        <f t="shared" si="5"/>
        <v>60581.102619999998</v>
      </c>
      <c r="L8" s="430">
        <f t="shared" ref="L8" si="6">L13+L17</f>
        <v>60581.102619999998</v>
      </c>
    </row>
    <row r="9" spans="1:14" ht="27" customHeight="1">
      <c r="A9" s="804"/>
      <c r="B9" s="807"/>
      <c r="C9" s="429" t="s">
        <v>979</v>
      </c>
      <c r="D9" s="430">
        <f t="shared" si="2"/>
        <v>229189.00872873716</v>
      </c>
      <c r="E9" s="430">
        <f t="shared" si="5"/>
        <v>19701.023069999999</v>
      </c>
      <c r="F9" s="430">
        <f t="shared" si="5"/>
        <v>48835.784459999995</v>
      </c>
      <c r="G9" s="430">
        <f t="shared" si="5"/>
        <v>32972.656438737155</v>
      </c>
      <c r="H9" s="430">
        <f t="shared" si="5"/>
        <v>51009.226800000004</v>
      </c>
      <c r="I9" s="430">
        <f t="shared" si="5"/>
        <v>34430.244960000004</v>
      </c>
      <c r="J9" s="430">
        <f t="shared" si="5"/>
        <v>17394.667149999997</v>
      </c>
      <c r="K9" s="430">
        <f t="shared" si="5"/>
        <v>12172.595589999999</v>
      </c>
      <c r="L9" s="430">
        <f t="shared" ref="L9" si="7">L14+L18</f>
        <v>12672.81026</v>
      </c>
    </row>
    <row r="10" spans="1:14" ht="33" customHeight="1">
      <c r="A10" s="805"/>
      <c r="B10" s="808"/>
      <c r="C10" s="429" t="s">
        <v>849</v>
      </c>
      <c r="D10" s="430">
        <f t="shared" si="2"/>
        <v>15.907</v>
      </c>
      <c r="E10" s="430">
        <f>E19</f>
        <v>0</v>
      </c>
      <c r="F10" s="430">
        <f t="shared" ref="F10:K10" si="8">F19</f>
        <v>0</v>
      </c>
      <c r="G10" s="430">
        <f t="shared" si="8"/>
        <v>15.907</v>
      </c>
      <c r="H10" s="430">
        <f t="shared" si="8"/>
        <v>0</v>
      </c>
      <c r="I10" s="430">
        <f t="shared" si="8"/>
        <v>0</v>
      </c>
      <c r="J10" s="430">
        <f t="shared" si="8"/>
        <v>0</v>
      </c>
      <c r="K10" s="430">
        <f t="shared" si="8"/>
        <v>0</v>
      </c>
      <c r="L10" s="430">
        <f t="shared" ref="L10" si="9">L19</f>
        <v>0</v>
      </c>
    </row>
    <row r="11" spans="1:14" ht="33" customHeight="1">
      <c r="A11" s="799" t="s">
        <v>33</v>
      </c>
      <c r="B11" s="801" t="s">
        <v>58</v>
      </c>
      <c r="C11" s="419" t="s">
        <v>4</v>
      </c>
      <c r="D11" s="430">
        <f t="shared" si="2"/>
        <v>408517.63077000005</v>
      </c>
      <c r="E11" s="421">
        <f t="shared" ref="E11:L11" si="10">SUM(E12:E14)</f>
        <v>16024.67643</v>
      </c>
      <c r="F11" s="421">
        <f t="shared" si="10"/>
        <v>71937.059509999992</v>
      </c>
      <c r="G11" s="421">
        <f t="shared" si="10"/>
        <v>65338.151289999994</v>
      </c>
      <c r="H11" s="421">
        <f t="shared" si="10"/>
        <v>35356.36591</v>
      </c>
      <c r="I11" s="421">
        <f t="shared" si="10"/>
        <v>125291.96743</v>
      </c>
      <c r="J11" s="430">
        <f t="shared" si="10"/>
        <v>93290.98444</v>
      </c>
      <c r="K11" s="786">
        <f t="shared" si="10"/>
        <v>639.21288000000004</v>
      </c>
      <c r="L11" s="786">
        <f t="shared" si="10"/>
        <v>639.21288000000004</v>
      </c>
    </row>
    <row r="12" spans="1:14" ht="33" customHeight="1">
      <c r="A12" s="799"/>
      <c r="B12" s="801"/>
      <c r="C12" s="419" t="s">
        <v>26</v>
      </c>
      <c r="D12" s="430">
        <f t="shared" si="2"/>
        <v>267376.82304686279</v>
      </c>
      <c r="E12" s="422">
        <f>'прил.2 Подп.1 '!F8</f>
        <v>12776.7727</v>
      </c>
      <c r="F12" s="422">
        <f>'прил.2 Подп.1 '!G8</f>
        <v>69903.157279999999</v>
      </c>
      <c r="G12" s="422">
        <f>'прил.3.2 Подп.1 2020г '!G7</f>
        <v>62997.417956862824</v>
      </c>
      <c r="H12" s="422">
        <f>'прил.3.3 Подп.1 2021г'!G7</f>
        <v>11725.551149999999</v>
      </c>
      <c r="I12" s="422">
        <f>'прил.3.4 Подп.1  2022г '!G7</f>
        <v>109973.92396</v>
      </c>
      <c r="J12" s="422">
        <f>'прил.3.5 Подп.1  2023г '!G7</f>
        <v>0</v>
      </c>
      <c r="K12" s="423">
        <f>'прил.3.6 Подп.1  2024г '!G7</f>
        <v>0</v>
      </c>
      <c r="L12" s="649">
        <f>'прил.3.7 Подп.1 2025г'!G7</f>
        <v>0</v>
      </c>
    </row>
    <row r="13" spans="1:14" ht="33" customHeight="1">
      <c r="A13" s="800"/>
      <c r="B13" s="801"/>
      <c r="C13" s="419" t="s">
        <v>5</v>
      </c>
      <c r="D13" s="430">
        <f t="shared" si="2"/>
        <v>100364.90716440002</v>
      </c>
      <c r="E13" s="423">
        <f>'прил.2 Подп.1 '!F9</f>
        <v>2077.69472</v>
      </c>
      <c r="F13" s="423">
        <f>'прил.2 Подп.1 '!G9</f>
        <v>1774.45047</v>
      </c>
      <c r="G13" s="422">
        <f>'прил.2 Подп.1 '!H9</f>
        <v>1324.0636744000108</v>
      </c>
      <c r="H13" s="422">
        <f>'прил.3.3 Подп.1 2021г'!G8</f>
        <v>841.2367999999999</v>
      </c>
      <c r="I13" s="422">
        <f>'прил.3.4 Подп.1  2022г '!G8</f>
        <v>604.15364</v>
      </c>
      <c r="J13" s="422">
        <f>'прил.3.5 Подп.1  2023г '!G8</f>
        <v>92581.102620000005</v>
      </c>
      <c r="K13" s="423">
        <f>'прил.3.6 Подп.1  2024г '!G8</f>
        <v>581.10262</v>
      </c>
      <c r="L13" s="649">
        <f>'прил.3.7 Подп.1 2025г'!G8</f>
        <v>581.10262</v>
      </c>
    </row>
    <row r="14" spans="1:14" ht="33" customHeight="1">
      <c r="A14" s="800"/>
      <c r="B14" s="801"/>
      <c r="C14" s="426" t="s">
        <v>979</v>
      </c>
      <c r="D14" s="430">
        <f t="shared" si="2"/>
        <v>40775.900558737172</v>
      </c>
      <c r="E14" s="423">
        <f>'прил.3 Подп.1  2018г'!G9</f>
        <v>1170.20901</v>
      </c>
      <c r="F14" s="423">
        <f>'прил.3.1 Подп.1  2019г '!G9</f>
        <v>259.45176000000038</v>
      </c>
      <c r="G14" s="422">
        <f>'прил.3.2 Подп.1 2020г '!G9</f>
        <v>1016.6696587371655</v>
      </c>
      <c r="H14" s="422">
        <f>'прил.3.3 Подп.1 2021г'!G9+'прил.3.3 Подп.1 2021г'!G10</f>
        <v>22789.577960000002</v>
      </c>
      <c r="I14" s="422">
        <f>'прил.3.4 Подп.1  2022г '!G9</f>
        <v>14713.88983</v>
      </c>
      <c r="J14" s="422">
        <f>'прил.3.5 Подп.1  2023г '!G9</f>
        <v>709.88182000000006</v>
      </c>
      <c r="K14" s="423">
        <f>'прил.3.6 Подп.1  2024г '!G9</f>
        <v>58.110259999999997</v>
      </c>
      <c r="L14" s="649">
        <f>'прил.3.7 Подп.1 2025г'!G9</f>
        <v>58.110259999999997</v>
      </c>
    </row>
    <row r="15" spans="1:14" ht="30.6" customHeight="1">
      <c r="A15" s="793" t="s">
        <v>45</v>
      </c>
      <c r="B15" s="796" t="s">
        <v>75</v>
      </c>
      <c r="C15" s="419" t="s">
        <v>4</v>
      </c>
      <c r="D15" s="430">
        <f t="shared" si="2"/>
        <v>949045.69470000011</v>
      </c>
      <c r="E15" s="421">
        <f t="shared" ref="E15:L15" si="11">SUM(E16:E19)</f>
        <v>120738.34883000002</v>
      </c>
      <c r="F15" s="421">
        <f t="shared" si="11"/>
        <v>136540.00733999995</v>
      </c>
      <c r="G15" s="421">
        <f t="shared" si="11"/>
        <v>313837.3639</v>
      </c>
      <c r="H15" s="421">
        <f t="shared" si="11"/>
        <v>51799.648840000002</v>
      </c>
      <c r="I15" s="421">
        <f t="shared" si="11"/>
        <v>114716.35513000001</v>
      </c>
      <c r="J15" s="421">
        <f t="shared" si="11"/>
        <v>66684.785329999999</v>
      </c>
      <c r="K15" s="421">
        <f t="shared" si="11"/>
        <v>72114.485329999996</v>
      </c>
      <c r="L15" s="421">
        <f t="shared" si="11"/>
        <v>72614.7</v>
      </c>
    </row>
    <row r="16" spans="1:14" ht="30.6" customHeight="1">
      <c r="A16" s="794"/>
      <c r="B16" s="797"/>
      <c r="C16" s="419" t="s">
        <v>26</v>
      </c>
      <c r="D16" s="430">
        <f t="shared" si="2"/>
        <v>340900</v>
      </c>
      <c r="E16" s="422">
        <v>0</v>
      </c>
      <c r="F16" s="422">
        <v>0</v>
      </c>
      <c r="G16" s="422">
        <f>'Прил.4.2 Подп.2 2020г   '!G372</f>
        <v>273900</v>
      </c>
      <c r="H16" s="422">
        <v>0</v>
      </c>
      <c r="I16" s="422">
        <f>'Прил.4.4 Подп.2 2022г.'!G232</f>
        <v>67000</v>
      </c>
      <c r="J16" s="422">
        <v>0</v>
      </c>
      <c r="K16" s="422">
        <v>0</v>
      </c>
      <c r="L16" s="645">
        <v>0</v>
      </c>
    </row>
    <row r="17" spans="1:12" ht="30.6" customHeight="1">
      <c r="A17" s="794"/>
      <c r="B17" s="797"/>
      <c r="C17" s="419" t="s">
        <v>5</v>
      </c>
      <c r="D17" s="430">
        <f t="shared" si="2"/>
        <v>419716.67952999996</v>
      </c>
      <c r="E17" s="422">
        <f>'Прил.4 Подп.2 2018г'!G119</f>
        <v>102207.53477000001</v>
      </c>
      <c r="F17" s="422">
        <f>'Прил.4.1 Подп.2 2019г'!G169</f>
        <v>87963.674639999968</v>
      </c>
      <c r="G17" s="422">
        <f>'Прил.4.2 Подп.2 2020г   '!G373</f>
        <v>7965.47012</v>
      </c>
      <c r="H17" s="422">
        <f>'Прил.4.3 Подп.2 2021г.'!G118</f>
        <v>23580</v>
      </c>
      <c r="I17" s="422">
        <f>'Прил.4.4 Подп.2 2022г.'!G233</f>
        <v>27999.999999999996</v>
      </c>
      <c r="J17" s="422">
        <f>'Прил.4.5 Подп.2 2023г. '!G109</f>
        <v>50000</v>
      </c>
      <c r="K17" s="422">
        <f>'Прил.4.6 Подп.2 2024г. '!G109</f>
        <v>60000</v>
      </c>
      <c r="L17" s="645">
        <f>'Прил.4.7 Подп.2 2025г. '!G109</f>
        <v>60000</v>
      </c>
    </row>
    <row r="18" spans="1:12" ht="30.6" customHeight="1">
      <c r="A18" s="794"/>
      <c r="B18" s="797"/>
      <c r="C18" s="419" t="s">
        <v>979</v>
      </c>
      <c r="D18" s="430">
        <f t="shared" si="2"/>
        <v>188413.10817000002</v>
      </c>
      <c r="E18" s="422">
        <f>'Прил.4 Подп.2 2018г'!G120</f>
        <v>18530.814060000001</v>
      </c>
      <c r="F18" s="422">
        <f>'Прил.4.1 Подп.2 2019г'!G170</f>
        <v>48576.332699999992</v>
      </c>
      <c r="G18" s="422">
        <f>'Прил.4.2 Подп.2 2020г   '!G374</f>
        <v>31955.986779999992</v>
      </c>
      <c r="H18" s="422">
        <f>'Прил.4.3 Подп.2 2021г.'!G119</f>
        <v>28219.648840000002</v>
      </c>
      <c r="I18" s="422">
        <f>'Прил.4.4 Подп.2 2022г.'!G234</f>
        <v>19716.355130000004</v>
      </c>
      <c r="J18" s="422">
        <f>'Прил.4.5 Подп.2 2023г. '!G110</f>
        <v>16684.785329999999</v>
      </c>
      <c r="K18" s="422">
        <f>'Прил.4.6 Подп.2 2024г. '!G110</f>
        <v>12114.48533</v>
      </c>
      <c r="L18" s="645">
        <f>'Прил.4.7 Подп.2 2025г. '!G110</f>
        <v>12614.7</v>
      </c>
    </row>
    <row r="19" spans="1:12" ht="30.6" customHeight="1">
      <c r="A19" s="795"/>
      <c r="B19" s="798"/>
      <c r="C19" s="419" t="s">
        <v>849</v>
      </c>
      <c r="D19" s="430">
        <f t="shared" si="2"/>
        <v>15.907</v>
      </c>
      <c r="E19" s="422">
        <v>0</v>
      </c>
      <c r="F19" s="422">
        <v>0</v>
      </c>
      <c r="G19" s="424">
        <f>'Прил.4.2 Подп.2 2020г   '!G375</f>
        <v>15.907</v>
      </c>
      <c r="H19" s="422">
        <v>0</v>
      </c>
      <c r="I19" s="422">
        <v>0</v>
      </c>
      <c r="J19" s="422">
        <v>0</v>
      </c>
      <c r="K19" s="422">
        <v>0</v>
      </c>
      <c r="L19" s="645">
        <v>0</v>
      </c>
    </row>
  </sheetData>
  <mergeCells count="13">
    <mergeCell ref="I1:L1"/>
    <mergeCell ref="A15:A19"/>
    <mergeCell ref="B15:B19"/>
    <mergeCell ref="A11:A14"/>
    <mergeCell ref="B11:B14"/>
    <mergeCell ref="C4:C5"/>
    <mergeCell ref="D4:D5"/>
    <mergeCell ref="A2:K2"/>
    <mergeCell ref="A6:A10"/>
    <mergeCell ref="B6:B10"/>
    <mergeCell ref="A4:A5"/>
    <mergeCell ref="B4:B5"/>
    <mergeCell ref="E4:L4"/>
  </mergeCells>
  <pageMargins left="0.78740157480314965" right="0.39370078740157483" top="0.39370078740157483" bottom="0.39370078740157483" header="0.31496062992125984" footer="0.31496062992125984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6"/>
  <sheetViews>
    <sheetView zoomScale="90" zoomScaleNormal="90" workbookViewId="0">
      <selection activeCell="B57" sqref="B57"/>
    </sheetView>
  </sheetViews>
  <sheetFormatPr defaultColWidth="8.88671875" defaultRowHeight="13.8"/>
  <cols>
    <col min="1" max="1" width="4.6640625" style="10" customWidth="1"/>
    <col min="2" max="2" width="61.33203125" style="10" customWidth="1"/>
    <col min="3" max="3" width="9.6640625" style="10" customWidth="1"/>
    <col min="4" max="4" width="9.5546875" style="10" customWidth="1"/>
    <col min="5" max="5" width="10.33203125" style="10" customWidth="1"/>
    <col min="6" max="6" width="21.33203125" style="10" customWidth="1"/>
    <col min="7" max="7" width="24.33203125" style="10" customWidth="1"/>
    <col min="8" max="8" width="31.88671875" style="10" customWidth="1"/>
    <col min="9" max="9" width="30.88671875" style="195" hidden="1" customWidth="1"/>
    <col min="10" max="10" width="36.44140625" style="10" customWidth="1"/>
    <col min="11" max="11" width="24.44140625" style="10" customWidth="1"/>
    <col min="12" max="16384" width="8.88671875" style="10"/>
  </cols>
  <sheetData>
    <row r="1" spans="1:10" ht="51" customHeight="1">
      <c r="A1" s="339"/>
      <c r="B1" s="988"/>
      <c r="C1" s="988"/>
      <c r="D1" s="988"/>
      <c r="E1" s="988"/>
      <c r="F1" s="590"/>
      <c r="G1" s="989" t="s">
        <v>1201</v>
      </c>
      <c r="H1" s="989"/>
      <c r="I1" s="194"/>
      <c r="J1" s="6"/>
    </row>
    <row r="2" spans="1:10" ht="17.399999999999999" customHeight="1">
      <c r="A2" s="990" t="s">
        <v>1196</v>
      </c>
      <c r="B2" s="990"/>
      <c r="C2" s="990"/>
      <c r="D2" s="990"/>
      <c r="E2" s="990"/>
      <c r="F2" s="990"/>
      <c r="G2" s="990"/>
      <c r="H2" s="990"/>
    </row>
    <row r="3" spans="1:10">
      <c r="A3" s="752"/>
      <c r="B3" s="752"/>
      <c r="C3" s="752"/>
      <c r="D3" s="752"/>
      <c r="E3" s="752"/>
      <c r="F3" s="752"/>
      <c r="G3" s="752"/>
      <c r="H3" s="591" t="s">
        <v>22</v>
      </c>
    </row>
    <row r="4" spans="1:10">
      <c r="A4" s="991" t="s">
        <v>0</v>
      </c>
      <c r="B4" s="992" t="s">
        <v>6</v>
      </c>
      <c r="C4" s="992" t="s">
        <v>17</v>
      </c>
      <c r="D4" s="992"/>
      <c r="E4" s="992" t="s">
        <v>8</v>
      </c>
      <c r="F4" s="992" t="s">
        <v>19</v>
      </c>
      <c r="G4" s="993" t="s">
        <v>4</v>
      </c>
      <c r="H4" s="992" t="s">
        <v>23</v>
      </c>
    </row>
    <row r="5" spans="1:10">
      <c r="A5" s="991"/>
      <c r="B5" s="992"/>
      <c r="C5" s="753" t="s">
        <v>7</v>
      </c>
      <c r="D5" s="753" t="s">
        <v>18</v>
      </c>
      <c r="E5" s="992"/>
      <c r="F5" s="992"/>
      <c r="G5" s="994"/>
      <c r="H5" s="992"/>
    </row>
    <row r="6" spans="1:10">
      <c r="A6" s="995"/>
      <c r="B6" s="978" t="s">
        <v>569</v>
      </c>
      <c r="C6" s="968" t="s">
        <v>9</v>
      </c>
      <c r="D6" s="968" t="s">
        <v>9</v>
      </c>
      <c r="E6" s="968" t="s">
        <v>9</v>
      </c>
      <c r="F6" s="504" t="s">
        <v>20</v>
      </c>
      <c r="G6" s="597">
        <f>G7+G8+G9</f>
        <v>639.21288000000004</v>
      </c>
      <c r="H6" s="985" t="s">
        <v>9</v>
      </c>
    </row>
    <row r="7" spans="1:10">
      <c r="A7" s="995"/>
      <c r="B7" s="978"/>
      <c r="C7" s="968"/>
      <c r="D7" s="968"/>
      <c r="E7" s="968"/>
      <c r="F7" s="504" t="s">
        <v>24</v>
      </c>
      <c r="G7" s="597">
        <f>G11</f>
        <v>0</v>
      </c>
      <c r="H7" s="986"/>
    </row>
    <row r="8" spans="1:10">
      <c r="A8" s="995"/>
      <c r="B8" s="996"/>
      <c r="C8" s="968"/>
      <c r="D8" s="968"/>
      <c r="E8" s="968"/>
      <c r="F8" s="504" t="s">
        <v>10</v>
      </c>
      <c r="G8" s="597">
        <f t="shared" ref="G8" si="0">G12</f>
        <v>581.10262</v>
      </c>
      <c r="H8" s="986"/>
    </row>
    <row r="9" spans="1:10">
      <c r="A9" s="995"/>
      <c r="B9" s="996"/>
      <c r="C9" s="968"/>
      <c r="D9" s="968"/>
      <c r="E9" s="968"/>
      <c r="F9" s="504" t="s">
        <v>11</v>
      </c>
      <c r="G9" s="597">
        <f>G13+G53</f>
        <v>58.110259999999997</v>
      </c>
      <c r="H9" s="987"/>
      <c r="J9" s="18"/>
    </row>
    <row r="10" spans="1:10">
      <c r="A10" s="977" t="s">
        <v>3</v>
      </c>
      <c r="B10" s="978" t="s">
        <v>656</v>
      </c>
      <c r="C10" s="968" t="s">
        <v>9</v>
      </c>
      <c r="D10" s="979" t="s">
        <v>9</v>
      </c>
      <c r="E10" s="968" t="s">
        <v>1156</v>
      </c>
      <c r="F10" s="504" t="s">
        <v>20</v>
      </c>
      <c r="G10" s="2">
        <f>G11+G12+G13</f>
        <v>639.21288000000004</v>
      </c>
      <c r="H10" s="982" t="s">
        <v>9</v>
      </c>
      <c r="I10" s="200">
        <f>I11+I12+I13</f>
        <v>15553.630299999999</v>
      </c>
      <c r="J10" s="18"/>
    </row>
    <row r="11" spans="1:10">
      <c r="A11" s="977"/>
      <c r="B11" s="978"/>
      <c r="C11" s="968"/>
      <c r="D11" s="980"/>
      <c r="E11" s="968"/>
      <c r="F11" s="593" t="s">
        <v>24</v>
      </c>
      <c r="G11" s="2">
        <f>G15+G39</f>
        <v>0</v>
      </c>
      <c r="H11" s="983"/>
      <c r="I11" s="18">
        <v>15382.70953</v>
      </c>
      <c r="J11" s="18"/>
    </row>
    <row r="12" spans="1:10">
      <c r="A12" s="977"/>
      <c r="B12" s="978"/>
      <c r="C12" s="968"/>
      <c r="D12" s="980"/>
      <c r="E12" s="968"/>
      <c r="F12" s="593" t="s">
        <v>10</v>
      </c>
      <c r="G12" s="2">
        <f t="shared" ref="G12:G13" si="1">G16+G40</f>
        <v>581.10262</v>
      </c>
      <c r="H12" s="983"/>
      <c r="I12" s="18">
        <v>155.38252</v>
      </c>
      <c r="J12" s="18"/>
    </row>
    <row r="13" spans="1:10">
      <c r="A13" s="977"/>
      <c r="B13" s="978"/>
      <c r="C13" s="968"/>
      <c r="D13" s="981"/>
      <c r="E13" s="968"/>
      <c r="F13" s="593" t="s">
        <v>11</v>
      </c>
      <c r="G13" s="2">
        <f t="shared" si="1"/>
        <v>58.110259999999997</v>
      </c>
      <c r="H13" s="984"/>
      <c r="I13" s="201">
        <v>15.53825</v>
      </c>
    </row>
    <row r="14" spans="1:10">
      <c r="A14" s="975" t="s">
        <v>25</v>
      </c>
      <c r="B14" s="877" t="s">
        <v>1110</v>
      </c>
      <c r="C14" s="968" t="s">
        <v>27</v>
      </c>
      <c r="D14" s="972">
        <v>1600</v>
      </c>
      <c r="E14" s="968" t="s">
        <v>1156</v>
      </c>
      <c r="F14" s="504" t="s">
        <v>20</v>
      </c>
      <c r="G14" s="3">
        <f>G15+G16+G17+G18</f>
        <v>210.09676000000002</v>
      </c>
      <c r="H14" s="966" t="s">
        <v>84</v>
      </c>
      <c r="I14" s="197"/>
    </row>
    <row r="15" spans="1:10">
      <c r="A15" s="975"/>
      <c r="B15" s="877"/>
      <c r="C15" s="968"/>
      <c r="D15" s="973"/>
      <c r="E15" s="968"/>
      <c r="F15" s="593" t="s">
        <v>24</v>
      </c>
      <c r="G15" s="3">
        <v>0</v>
      </c>
      <c r="H15" s="966"/>
      <c r="I15" s="197" t="e">
        <f>G19+G23+#REF!+G27</f>
        <v>#REF!</v>
      </c>
      <c r="J15" s="18"/>
    </row>
    <row r="16" spans="1:10">
      <c r="A16" s="975"/>
      <c r="B16" s="877"/>
      <c r="C16" s="968"/>
      <c r="D16" s="973"/>
      <c r="E16" s="968"/>
      <c r="F16" s="593" t="s">
        <v>10</v>
      </c>
      <c r="G16" s="3">
        <v>190.99706</v>
      </c>
      <c r="H16" s="966"/>
      <c r="I16" s="197" t="e">
        <f>G20+G24+#REF!+G28</f>
        <v>#REF!</v>
      </c>
      <c r="J16" s="18"/>
    </row>
    <row r="17" spans="1:10">
      <c r="A17" s="975"/>
      <c r="B17" s="877"/>
      <c r="C17" s="968"/>
      <c r="D17" s="974"/>
      <c r="E17" s="968"/>
      <c r="F17" s="593" t="s">
        <v>11</v>
      </c>
      <c r="G17" s="3">
        <v>19.099699999999999</v>
      </c>
      <c r="H17" s="966"/>
      <c r="I17" s="197"/>
    </row>
    <row r="18" spans="1:10" ht="13.8" hidden="1" customHeight="1">
      <c r="A18" s="967" t="s">
        <v>12</v>
      </c>
      <c r="B18" s="878"/>
      <c r="C18" s="968" t="s">
        <v>27</v>
      </c>
      <c r="D18" s="972">
        <v>545</v>
      </c>
      <c r="E18" s="968" t="s">
        <v>1156</v>
      </c>
      <c r="F18" s="504" t="s">
        <v>20</v>
      </c>
      <c r="G18" s="592"/>
      <c r="H18" s="966" t="s">
        <v>84</v>
      </c>
      <c r="I18" s="197"/>
    </row>
    <row r="19" spans="1:10" ht="13.8" hidden="1" customHeight="1">
      <c r="A19" s="967"/>
      <c r="B19" s="878"/>
      <c r="C19" s="968"/>
      <c r="D19" s="973"/>
      <c r="E19" s="968"/>
      <c r="F19" s="593" t="s">
        <v>24</v>
      </c>
      <c r="G19" s="595">
        <f>ROUND(G18*I19,5)</f>
        <v>0</v>
      </c>
      <c r="H19" s="966"/>
      <c r="I19" s="199">
        <f>ROUND(I11/I10,16)</f>
        <v>0.98901087612967098</v>
      </c>
      <c r="J19" s="202"/>
    </row>
    <row r="20" spans="1:10" ht="13.8" hidden="1" customHeight="1">
      <c r="A20" s="967"/>
      <c r="B20" s="878"/>
      <c r="C20" s="968"/>
      <c r="D20" s="973"/>
      <c r="E20" s="968"/>
      <c r="F20" s="593" t="s">
        <v>10</v>
      </c>
      <c r="G20" s="595">
        <f>ROUND(G18*I20,5)</f>
        <v>0</v>
      </c>
      <c r="H20" s="966"/>
      <c r="I20" s="199">
        <f>ROUND(I12/I10,16)</f>
        <v>9.9901127262874995E-3</v>
      </c>
      <c r="J20" s="202"/>
    </row>
    <row r="21" spans="1:10" ht="13.8" hidden="1" customHeight="1">
      <c r="A21" s="967"/>
      <c r="B21" s="878"/>
      <c r="C21" s="968"/>
      <c r="D21" s="974"/>
      <c r="E21" s="968"/>
      <c r="F21" s="593" t="s">
        <v>11</v>
      </c>
      <c r="G21" s="596">
        <f>G18-G19-G20</f>
        <v>0</v>
      </c>
      <c r="H21" s="966"/>
      <c r="I21" s="199">
        <f>ROUND(I13/I10,16)</f>
        <v>9.9901114404140007E-4</v>
      </c>
      <c r="J21" s="202"/>
    </row>
    <row r="22" spans="1:10" ht="13.8" hidden="1" customHeight="1">
      <c r="A22" s="967" t="s">
        <v>518</v>
      </c>
      <c r="B22" s="878"/>
      <c r="C22" s="968" t="s">
        <v>27</v>
      </c>
      <c r="D22" s="972">
        <v>1190</v>
      </c>
      <c r="E22" s="968" t="s">
        <v>1156</v>
      </c>
      <c r="F22" s="504" t="s">
        <v>20</v>
      </c>
      <c r="G22" s="592"/>
      <c r="H22" s="966" t="s">
        <v>84</v>
      </c>
      <c r="I22" s="197"/>
    </row>
    <row r="23" spans="1:10" ht="13.8" hidden="1" customHeight="1">
      <c r="A23" s="967"/>
      <c r="B23" s="878"/>
      <c r="C23" s="968"/>
      <c r="D23" s="973"/>
      <c r="E23" s="968"/>
      <c r="F23" s="593" t="s">
        <v>24</v>
      </c>
      <c r="G23" s="595">
        <f>ROUND(G22*I19,5)</f>
        <v>0</v>
      </c>
      <c r="H23" s="966"/>
      <c r="I23" s="159"/>
      <c r="J23" s="18"/>
    </row>
    <row r="24" spans="1:10" ht="13.8" hidden="1" customHeight="1">
      <c r="A24" s="967"/>
      <c r="B24" s="878"/>
      <c r="C24" s="968"/>
      <c r="D24" s="973"/>
      <c r="E24" s="968"/>
      <c r="F24" s="593" t="s">
        <v>10</v>
      </c>
      <c r="G24" s="595">
        <f>ROUND(G22*I20,5)</f>
        <v>0</v>
      </c>
      <c r="H24" s="966"/>
      <c r="I24" s="159"/>
      <c r="J24" s="18"/>
    </row>
    <row r="25" spans="1:10" ht="13.8" hidden="1" customHeight="1">
      <c r="A25" s="967"/>
      <c r="B25" s="878"/>
      <c r="C25" s="968"/>
      <c r="D25" s="974"/>
      <c r="E25" s="968"/>
      <c r="F25" s="593" t="s">
        <v>11</v>
      </c>
      <c r="G25" s="596">
        <f>G22-G23-G24</f>
        <v>0</v>
      </c>
      <c r="H25" s="966"/>
      <c r="I25" s="159"/>
    </row>
    <row r="26" spans="1:10" ht="13.8" hidden="1" customHeight="1">
      <c r="A26" s="967" t="s">
        <v>519</v>
      </c>
      <c r="B26" s="878"/>
      <c r="C26" s="968" t="s">
        <v>27</v>
      </c>
      <c r="D26" s="972">
        <v>253</v>
      </c>
      <c r="E26" s="968" t="s">
        <v>1156</v>
      </c>
      <c r="F26" s="504" t="s">
        <v>20</v>
      </c>
      <c r="G26" s="592"/>
      <c r="H26" s="966" t="s">
        <v>84</v>
      </c>
      <c r="I26" s="197"/>
    </row>
    <row r="27" spans="1:10" ht="13.8" hidden="1" customHeight="1">
      <c r="A27" s="967"/>
      <c r="B27" s="878"/>
      <c r="C27" s="968"/>
      <c r="D27" s="973"/>
      <c r="E27" s="968"/>
      <c r="F27" s="593" t="s">
        <v>24</v>
      </c>
      <c r="G27" s="595">
        <f>ROUND(G26*I19,5)</f>
        <v>0</v>
      </c>
      <c r="H27" s="966"/>
      <c r="I27" s="159"/>
      <c r="J27" s="18"/>
    </row>
    <row r="28" spans="1:10" ht="13.8" hidden="1" customHeight="1">
      <c r="A28" s="967"/>
      <c r="B28" s="878"/>
      <c r="C28" s="968"/>
      <c r="D28" s="973"/>
      <c r="E28" s="968"/>
      <c r="F28" s="593" t="s">
        <v>10</v>
      </c>
      <c r="G28" s="595">
        <f>ROUND(G26*I20,5)</f>
        <v>0</v>
      </c>
      <c r="H28" s="966"/>
      <c r="I28" s="159"/>
      <c r="J28" s="18"/>
    </row>
    <row r="29" spans="1:10" ht="13.8" hidden="1" customHeight="1">
      <c r="A29" s="967"/>
      <c r="B29" s="878"/>
      <c r="C29" s="968"/>
      <c r="D29" s="974"/>
      <c r="E29" s="968"/>
      <c r="F29" s="593" t="s">
        <v>11</v>
      </c>
      <c r="G29" s="596">
        <f>G26-G27-G28</f>
        <v>0</v>
      </c>
      <c r="H29" s="966"/>
      <c r="I29" s="159"/>
    </row>
    <row r="30" spans="1:10" ht="13.8" hidden="1" customHeight="1">
      <c r="A30" s="967" t="s">
        <v>520</v>
      </c>
      <c r="B30" s="878"/>
      <c r="C30" s="968" t="s">
        <v>27</v>
      </c>
      <c r="D30" s="972">
        <v>1035</v>
      </c>
      <c r="E30" s="968" t="s">
        <v>1156</v>
      </c>
      <c r="F30" s="504" t="s">
        <v>20</v>
      </c>
      <c r="G30" s="592"/>
      <c r="H30" s="966" t="s">
        <v>84</v>
      </c>
      <c r="I30" s="197"/>
    </row>
    <row r="31" spans="1:10" ht="13.8" hidden="1" customHeight="1">
      <c r="A31" s="967"/>
      <c r="B31" s="878"/>
      <c r="C31" s="968"/>
      <c r="D31" s="973"/>
      <c r="E31" s="968"/>
      <c r="F31" s="593" t="s">
        <v>24</v>
      </c>
      <c r="G31" s="595">
        <f>ROUND(G30*I19,5)</f>
        <v>0</v>
      </c>
      <c r="H31" s="966"/>
      <c r="I31" s="159"/>
      <c r="J31" s="18"/>
    </row>
    <row r="32" spans="1:10" ht="13.8" hidden="1" customHeight="1">
      <c r="A32" s="967"/>
      <c r="B32" s="878"/>
      <c r="C32" s="968"/>
      <c r="D32" s="973"/>
      <c r="E32" s="968"/>
      <c r="F32" s="593" t="s">
        <v>10</v>
      </c>
      <c r="G32" s="595">
        <f>ROUND(G30*I20,5)</f>
        <v>0</v>
      </c>
      <c r="H32" s="966"/>
      <c r="I32" s="159"/>
      <c r="J32" s="18"/>
    </row>
    <row r="33" spans="1:10" ht="13.8" hidden="1" customHeight="1">
      <c r="A33" s="967"/>
      <c r="B33" s="878"/>
      <c r="C33" s="968"/>
      <c r="D33" s="974"/>
      <c r="E33" s="968"/>
      <c r="F33" s="593" t="s">
        <v>11</v>
      </c>
      <c r="G33" s="596">
        <f>G30-G31-G32</f>
        <v>0</v>
      </c>
      <c r="H33" s="966"/>
      <c r="I33" s="159"/>
    </row>
    <row r="34" spans="1:10" ht="13.8" hidden="1" customHeight="1">
      <c r="A34" s="967" t="s">
        <v>521</v>
      </c>
      <c r="B34" s="878"/>
      <c r="C34" s="968" t="s">
        <v>27</v>
      </c>
      <c r="D34" s="972">
        <v>457</v>
      </c>
      <c r="E34" s="968" t="s">
        <v>1156</v>
      </c>
      <c r="F34" s="504" t="s">
        <v>20</v>
      </c>
      <c r="G34" s="592"/>
      <c r="H34" s="966" t="s">
        <v>84</v>
      </c>
      <c r="I34" s="209"/>
    </row>
    <row r="35" spans="1:10" ht="13.8" hidden="1" customHeight="1">
      <c r="A35" s="967"/>
      <c r="B35" s="878"/>
      <c r="C35" s="968"/>
      <c r="D35" s="973"/>
      <c r="E35" s="968"/>
      <c r="F35" s="593" t="s">
        <v>24</v>
      </c>
      <c r="G35" s="595">
        <f>ROUND(G34*I19,5)</f>
        <v>0</v>
      </c>
      <c r="H35" s="966"/>
      <c r="I35" s="206"/>
    </row>
    <row r="36" spans="1:10" ht="13.8" hidden="1" customHeight="1">
      <c r="A36" s="967"/>
      <c r="B36" s="878"/>
      <c r="C36" s="968"/>
      <c r="D36" s="973"/>
      <c r="E36" s="968"/>
      <c r="F36" s="593" t="s">
        <v>10</v>
      </c>
      <c r="G36" s="595">
        <f>ROUND(G34*I20,5)</f>
        <v>0</v>
      </c>
      <c r="H36" s="966"/>
      <c r="I36" s="18"/>
    </row>
    <row r="37" spans="1:10" ht="13.8" hidden="1" customHeight="1">
      <c r="A37" s="967"/>
      <c r="B37" s="878"/>
      <c r="C37" s="968"/>
      <c r="D37" s="974"/>
      <c r="E37" s="968"/>
      <c r="F37" s="593" t="s">
        <v>11</v>
      </c>
      <c r="G37" s="596">
        <f>G34-G35-G36</f>
        <v>0</v>
      </c>
      <c r="H37" s="966"/>
      <c r="I37" s="18"/>
    </row>
    <row r="38" spans="1:10">
      <c r="A38" s="975" t="s">
        <v>45</v>
      </c>
      <c r="B38" s="877" t="s">
        <v>364</v>
      </c>
      <c r="C38" s="968" t="s">
        <v>27</v>
      </c>
      <c r="D38" s="976">
        <v>5205</v>
      </c>
      <c r="E38" s="968" t="s">
        <v>1156</v>
      </c>
      <c r="F38" s="504" t="s">
        <v>20</v>
      </c>
      <c r="G38" s="3">
        <f>G39+G40+G41</f>
        <v>429.11612000000002</v>
      </c>
      <c r="H38" s="966" t="s">
        <v>84</v>
      </c>
      <c r="I38" s="198"/>
      <c r="J38" s="161"/>
    </row>
    <row r="39" spans="1:10">
      <c r="A39" s="975"/>
      <c r="B39" s="877"/>
      <c r="C39" s="968"/>
      <c r="D39" s="976"/>
      <c r="E39" s="968"/>
      <c r="F39" s="593" t="s">
        <v>24</v>
      </c>
      <c r="G39" s="213">
        <v>0</v>
      </c>
      <c r="H39" s="966"/>
      <c r="I39" s="198"/>
      <c r="J39" s="160"/>
    </row>
    <row r="40" spans="1:10">
      <c r="A40" s="975"/>
      <c r="B40" s="877"/>
      <c r="C40" s="968"/>
      <c r="D40" s="976"/>
      <c r="E40" s="968"/>
      <c r="F40" s="593" t="s">
        <v>10</v>
      </c>
      <c r="G40" s="213">
        <v>390.10556000000003</v>
      </c>
      <c r="H40" s="966"/>
      <c r="I40" s="198"/>
      <c r="J40" s="160"/>
    </row>
    <row r="41" spans="1:10">
      <c r="A41" s="975"/>
      <c r="B41" s="877"/>
      <c r="C41" s="968"/>
      <c r="D41" s="976"/>
      <c r="E41" s="968"/>
      <c r="F41" s="593" t="s">
        <v>11</v>
      </c>
      <c r="G41" s="213">
        <v>39.010559999999998</v>
      </c>
      <c r="H41" s="966"/>
      <c r="I41" s="198"/>
      <c r="J41" s="160"/>
    </row>
    <row r="42" spans="1:10" ht="13.8" hidden="1" customHeight="1">
      <c r="A42" s="967" t="s">
        <v>16</v>
      </c>
      <c r="B42" s="878"/>
      <c r="C42" s="968"/>
      <c r="D42" s="969">
        <v>500</v>
      </c>
      <c r="E42" s="968" t="s">
        <v>368</v>
      </c>
      <c r="F42" s="504" t="s">
        <v>20</v>
      </c>
      <c r="G42" s="592"/>
      <c r="H42" s="966" t="s">
        <v>84</v>
      </c>
      <c r="I42" s="203">
        <v>6023.9049999999997</v>
      </c>
    </row>
    <row r="43" spans="1:10" ht="13.8" hidden="1" customHeight="1">
      <c r="A43" s="967"/>
      <c r="B43" s="878"/>
      <c r="C43" s="968"/>
      <c r="D43" s="969"/>
      <c r="E43" s="968"/>
      <c r="F43" s="593" t="s">
        <v>24</v>
      </c>
      <c r="G43" s="594"/>
      <c r="H43" s="966"/>
      <c r="I43" s="203">
        <f>ROUND(I42*I19,5)</f>
        <v>5957.7075599999998</v>
      </c>
      <c r="J43" s="18"/>
    </row>
    <row r="44" spans="1:10" ht="13.8" hidden="1" customHeight="1">
      <c r="A44" s="967"/>
      <c r="B44" s="878"/>
      <c r="C44" s="968"/>
      <c r="D44" s="969"/>
      <c r="E44" s="968"/>
      <c r="F44" s="593" t="s">
        <v>10</v>
      </c>
      <c r="G44" s="594"/>
      <c r="H44" s="966"/>
      <c r="I44" s="203">
        <f>ROUND(I42*I20,5)</f>
        <v>60.179490000000001</v>
      </c>
      <c r="J44" s="18"/>
    </row>
    <row r="45" spans="1:10" ht="13.8" hidden="1" customHeight="1">
      <c r="A45" s="967"/>
      <c r="B45" s="878"/>
      <c r="C45" s="968"/>
      <c r="D45" s="969"/>
      <c r="E45" s="968"/>
      <c r="F45" s="593" t="s">
        <v>11</v>
      </c>
      <c r="G45" s="594"/>
      <c r="H45" s="966"/>
      <c r="I45" s="203">
        <f>I42-I43-I44</f>
        <v>6.0179499999999138</v>
      </c>
      <c r="J45" s="18"/>
    </row>
    <row r="46" spans="1:10" ht="13.8" hidden="1" customHeight="1">
      <c r="A46" s="970" t="s">
        <v>399</v>
      </c>
      <c r="B46" s="904"/>
      <c r="C46" s="968"/>
      <c r="D46" s="971"/>
      <c r="E46" s="968"/>
      <c r="F46" s="504" t="s">
        <v>20</v>
      </c>
      <c r="G46" s="592"/>
      <c r="H46" s="966" t="s">
        <v>84</v>
      </c>
      <c r="I46" s="159"/>
    </row>
    <row r="47" spans="1:10" ht="13.8" hidden="1" customHeight="1">
      <c r="A47" s="970"/>
      <c r="B47" s="904"/>
      <c r="C47" s="968"/>
      <c r="D47" s="971"/>
      <c r="E47" s="968"/>
      <c r="F47" s="593" t="s">
        <v>24</v>
      </c>
      <c r="G47" s="596"/>
      <c r="H47" s="966"/>
      <c r="I47" s="159"/>
    </row>
    <row r="48" spans="1:10" ht="13.8" hidden="1" customHeight="1">
      <c r="A48" s="970"/>
      <c r="B48" s="904"/>
      <c r="C48" s="968"/>
      <c r="D48" s="971"/>
      <c r="E48" s="968"/>
      <c r="F48" s="593" t="s">
        <v>10</v>
      </c>
      <c r="G48" s="596"/>
      <c r="H48" s="966"/>
      <c r="I48" s="159"/>
    </row>
    <row r="49" spans="1:17" ht="16.2" hidden="1" customHeight="1">
      <c r="A49" s="970"/>
      <c r="B49" s="904"/>
      <c r="C49" s="968"/>
      <c r="D49" s="971"/>
      <c r="E49" s="968"/>
      <c r="F49" s="593" t="s">
        <v>11</v>
      </c>
      <c r="G49" s="596"/>
      <c r="H49" s="966"/>
      <c r="I49" s="159"/>
      <c r="J49" s="17"/>
    </row>
    <row r="50" spans="1:17" ht="19.2" customHeight="1">
      <c r="A50" s="977" t="s">
        <v>48</v>
      </c>
      <c r="B50" s="997" t="s">
        <v>582</v>
      </c>
      <c r="C50" s="1000" t="s">
        <v>9</v>
      </c>
      <c r="D50" s="1000" t="s">
        <v>9</v>
      </c>
      <c r="E50" s="1000"/>
      <c r="F50" s="504" t="s">
        <v>20</v>
      </c>
      <c r="G50" s="204">
        <f>G51+G52+G53</f>
        <v>0</v>
      </c>
      <c r="H50" s="966" t="s">
        <v>84</v>
      </c>
      <c r="I50" s="200"/>
      <c r="J50" s="394"/>
      <c r="K50" s="394"/>
      <c r="L50" s="395"/>
      <c r="M50" s="395"/>
      <c r="N50" s="395"/>
      <c r="O50" s="395"/>
      <c r="P50" s="395"/>
      <c r="Q50" s="395"/>
    </row>
    <row r="51" spans="1:17" ht="19.2" customHeight="1">
      <c r="A51" s="977"/>
      <c r="B51" s="998"/>
      <c r="C51" s="1000"/>
      <c r="D51" s="1000"/>
      <c r="E51" s="1000"/>
      <c r="F51" s="504" t="s">
        <v>24</v>
      </c>
      <c r="G51" s="204">
        <f>G55+G60</f>
        <v>0</v>
      </c>
      <c r="H51" s="966"/>
      <c r="I51" s="18"/>
      <c r="J51" s="394"/>
      <c r="K51" s="394"/>
      <c r="L51" s="395"/>
      <c r="M51" s="395"/>
      <c r="N51" s="395"/>
      <c r="O51" s="395"/>
      <c r="P51" s="395"/>
      <c r="Q51" s="395"/>
    </row>
    <row r="52" spans="1:17" ht="19.2" customHeight="1">
      <c r="A52" s="977"/>
      <c r="B52" s="998"/>
      <c r="C52" s="1000"/>
      <c r="D52" s="1000"/>
      <c r="E52" s="1000"/>
      <c r="F52" s="504" t="s">
        <v>10</v>
      </c>
      <c r="G52" s="204">
        <f>G56+G61</f>
        <v>0</v>
      </c>
      <c r="H52" s="966"/>
      <c r="I52" s="18"/>
      <c r="J52" s="394"/>
      <c r="K52" s="394"/>
      <c r="L52" s="395"/>
      <c r="M52" s="395"/>
      <c r="N52" s="395"/>
      <c r="O52" s="395"/>
      <c r="P52" s="395"/>
      <c r="Q52" s="395"/>
    </row>
    <row r="53" spans="1:17" ht="19.2" customHeight="1">
      <c r="A53" s="977"/>
      <c r="B53" s="999"/>
      <c r="C53" s="1000"/>
      <c r="D53" s="1000"/>
      <c r="E53" s="1000"/>
      <c r="F53" s="504" t="s">
        <v>11</v>
      </c>
      <c r="G53" s="204">
        <v>0</v>
      </c>
      <c r="H53" s="966"/>
      <c r="I53" s="201"/>
      <c r="J53" s="395"/>
      <c r="K53" s="395"/>
      <c r="L53" s="395"/>
      <c r="M53" s="395"/>
      <c r="N53" s="395"/>
      <c r="O53" s="395"/>
      <c r="P53" s="395"/>
      <c r="Q53" s="395"/>
    </row>
    <row r="54" spans="1:17">
      <c r="F54" s="20"/>
      <c r="G54" s="20"/>
    </row>
    <row r="55" spans="1:17">
      <c r="F55" s="20"/>
      <c r="G55" s="20"/>
    </row>
    <row r="56" spans="1:17">
      <c r="F56" s="20"/>
      <c r="G56" s="20"/>
      <c r="H56" s="339"/>
    </row>
    <row r="57" spans="1:17">
      <c r="F57" s="20"/>
      <c r="G57" s="20"/>
    </row>
    <row r="58" spans="1:17">
      <c r="F58" s="20"/>
      <c r="G58" s="20"/>
    </row>
    <row r="59" spans="1:17">
      <c r="F59" s="20"/>
      <c r="G59" s="20"/>
    </row>
    <row r="60" spans="1:17">
      <c r="F60" s="20"/>
      <c r="G60" s="20"/>
    </row>
    <row r="61" spans="1:17">
      <c r="F61" s="20"/>
      <c r="G61" s="20"/>
    </row>
    <row r="62" spans="1:17">
      <c r="F62" s="20"/>
      <c r="G62" s="20"/>
    </row>
    <row r="63" spans="1:17">
      <c r="F63" s="20"/>
      <c r="G63" s="20"/>
    </row>
    <row r="64" spans="1:17">
      <c r="F64" s="20"/>
      <c r="G64" s="20"/>
    </row>
    <row r="65" spans="6:7">
      <c r="F65" s="20"/>
      <c r="G65" s="20"/>
    </row>
    <row r="66" spans="6:7">
      <c r="F66" s="20"/>
      <c r="G66" s="20"/>
    </row>
    <row r="67" spans="6:7">
      <c r="F67" s="20"/>
      <c r="G67" s="20"/>
    </row>
    <row r="68" spans="6:7">
      <c r="F68" s="20"/>
      <c r="G68" s="20"/>
    </row>
    <row r="69" spans="6:7">
      <c r="F69" s="20"/>
      <c r="G69" s="20"/>
    </row>
    <row r="70" spans="6:7">
      <c r="F70" s="20"/>
      <c r="G70" s="20"/>
    </row>
    <row r="71" spans="6:7">
      <c r="F71" s="20"/>
      <c r="G71" s="20"/>
    </row>
    <row r="72" spans="6:7">
      <c r="F72" s="20"/>
      <c r="G72" s="20"/>
    </row>
    <row r="73" spans="6:7">
      <c r="F73" s="20"/>
      <c r="G73" s="20"/>
    </row>
    <row r="74" spans="6:7">
      <c r="F74" s="20"/>
      <c r="G74" s="20"/>
    </row>
    <row r="75" spans="6:7">
      <c r="F75" s="20"/>
      <c r="G75" s="20"/>
    </row>
    <row r="76" spans="6:7">
      <c r="F76" s="20"/>
      <c r="G76" s="20"/>
    </row>
    <row r="77" spans="6:7">
      <c r="F77" s="20"/>
      <c r="G77" s="20"/>
    </row>
    <row r="78" spans="6:7">
      <c r="F78" s="20"/>
      <c r="G78" s="20"/>
    </row>
    <row r="79" spans="6:7">
      <c r="F79" s="20"/>
      <c r="G79" s="20"/>
    </row>
    <row r="80" spans="6:7">
      <c r="F80" s="20"/>
      <c r="G80" s="20"/>
    </row>
    <row r="81" spans="6:7">
      <c r="F81" s="20"/>
      <c r="G81" s="20"/>
    </row>
    <row r="82" spans="6:7">
      <c r="F82" s="20"/>
      <c r="G82" s="20"/>
    </row>
    <row r="83" spans="6:7">
      <c r="F83" s="20"/>
      <c r="G83" s="20"/>
    </row>
    <row r="84" spans="6:7">
      <c r="F84" s="20"/>
      <c r="G84" s="20"/>
    </row>
    <row r="85" spans="6:7">
      <c r="F85" s="20"/>
      <c r="G85" s="20"/>
    </row>
    <row r="86" spans="6:7">
      <c r="F86" s="20"/>
      <c r="G86" s="20"/>
    </row>
    <row r="87" spans="6:7">
      <c r="F87" s="20"/>
      <c r="G87" s="20"/>
    </row>
    <row r="88" spans="6:7">
      <c r="F88" s="20"/>
      <c r="G88" s="20"/>
    </row>
    <row r="89" spans="6:7">
      <c r="F89" s="20"/>
      <c r="G89" s="20"/>
    </row>
    <row r="90" spans="6:7">
      <c r="F90" s="20"/>
      <c r="G90" s="20"/>
    </row>
    <row r="91" spans="6:7">
      <c r="F91" s="20"/>
      <c r="G91" s="20"/>
    </row>
    <row r="92" spans="6:7">
      <c r="F92" s="20"/>
      <c r="G92" s="20"/>
    </row>
    <row r="93" spans="6:7">
      <c r="F93" s="20"/>
      <c r="G93" s="20"/>
    </row>
    <row r="94" spans="6:7">
      <c r="F94" s="20"/>
      <c r="G94" s="20"/>
    </row>
    <row r="95" spans="6:7">
      <c r="F95" s="20"/>
      <c r="G95" s="20"/>
    </row>
    <row r="96" spans="6:7">
      <c r="F96" s="20"/>
      <c r="G96" s="20"/>
    </row>
  </sheetData>
  <mergeCells count="82">
    <mergeCell ref="H50:H53"/>
    <mergeCell ref="A46:A49"/>
    <mergeCell ref="B46:B49"/>
    <mergeCell ref="C46:C49"/>
    <mergeCell ref="D46:D49"/>
    <mergeCell ref="E46:E49"/>
    <mergeCell ref="H46:H49"/>
    <mergeCell ref="A50:A53"/>
    <mergeCell ref="B50:B53"/>
    <mergeCell ref="C50:C53"/>
    <mergeCell ref="D50:D53"/>
    <mergeCell ref="E50:E53"/>
    <mergeCell ref="H42:H45"/>
    <mergeCell ref="A38:A41"/>
    <mergeCell ref="B38:B41"/>
    <mergeCell ref="C38:C41"/>
    <mergeCell ref="D38:D41"/>
    <mergeCell ref="E38:E41"/>
    <mergeCell ref="H38:H41"/>
    <mergeCell ref="A42:A45"/>
    <mergeCell ref="B42:B45"/>
    <mergeCell ref="C42:C45"/>
    <mergeCell ref="D42:D45"/>
    <mergeCell ref="E42:E45"/>
    <mergeCell ref="H34:H37"/>
    <mergeCell ref="A30:A33"/>
    <mergeCell ref="B30:B33"/>
    <mergeCell ref="C30:C33"/>
    <mergeCell ref="D30:D33"/>
    <mergeCell ref="E30:E33"/>
    <mergeCell ref="H30:H33"/>
    <mergeCell ref="A34:A37"/>
    <mergeCell ref="B34:B37"/>
    <mergeCell ref="C34:C37"/>
    <mergeCell ref="D34:D37"/>
    <mergeCell ref="E34:E37"/>
    <mergeCell ref="H26:H29"/>
    <mergeCell ref="A22:A25"/>
    <mergeCell ref="B22:B25"/>
    <mergeCell ref="C22:C25"/>
    <mergeCell ref="D22:D25"/>
    <mergeCell ref="E22:E25"/>
    <mergeCell ref="H22:H25"/>
    <mergeCell ref="A26:A29"/>
    <mergeCell ref="B26:B29"/>
    <mergeCell ref="C26:C29"/>
    <mergeCell ref="D26:D29"/>
    <mergeCell ref="E26:E29"/>
    <mergeCell ref="H18:H21"/>
    <mergeCell ref="A14:A17"/>
    <mergeCell ref="B14:B17"/>
    <mergeCell ref="C14:C17"/>
    <mergeCell ref="D14:D17"/>
    <mergeCell ref="E14:E17"/>
    <mergeCell ref="H14:H17"/>
    <mergeCell ref="A18:A21"/>
    <mergeCell ref="B18:B21"/>
    <mergeCell ref="C18:C21"/>
    <mergeCell ref="D18:D21"/>
    <mergeCell ref="E18:E21"/>
    <mergeCell ref="H10:H13"/>
    <mergeCell ref="A6:A9"/>
    <mergeCell ref="B6:B9"/>
    <mergeCell ref="C6:C9"/>
    <mergeCell ref="D6:D9"/>
    <mergeCell ref="E6:E9"/>
    <mergeCell ref="H6:H9"/>
    <mergeCell ref="A10:A13"/>
    <mergeCell ref="B10:B13"/>
    <mergeCell ref="C10:C13"/>
    <mergeCell ref="D10:D13"/>
    <mergeCell ref="E10:E13"/>
    <mergeCell ref="B1:E1"/>
    <mergeCell ref="G1:H1"/>
    <mergeCell ref="A2:H2"/>
    <mergeCell ref="A4:A5"/>
    <mergeCell ref="B4:B5"/>
    <mergeCell ref="C4:D4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3"/>
  <sheetViews>
    <sheetView topLeftCell="A88" workbookViewId="0">
      <selection activeCell="A2" sqref="A2:H2"/>
    </sheetView>
  </sheetViews>
  <sheetFormatPr defaultColWidth="8.88671875" defaultRowHeight="12"/>
  <cols>
    <col min="1" max="1" width="6.109375" style="300" customWidth="1"/>
    <col min="2" max="2" width="55.33203125" style="300" customWidth="1"/>
    <col min="3" max="3" width="10.6640625" style="300" customWidth="1"/>
    <col min="4" max="4" width="12.109375" style="300" customWidth="1"/>
    <col min="5" max="5" width="10.88671875" style="300" customWidth="1"/>
    <col min="6" max="6" width="20.88671875" style="300" customWidth="1"/>
    <col min="7" max="7" width="18.33203125" style="300" customWidth="1"/>
    <col min="8" max="8" width="20.6640625" style="300" customWidth="1"/>
    <col min="9" max="9" width="15.33203125" style="300" customWidth="1"/>
    <col min="10" max="10" width="12" style="301" customWidth="1"/>
    <col min="11" max="11" width="12.5546875" style="300" customWidth="1"/>
    <col min="12" max="12" width="17.109375" style="300" customWidth="1"/>
    <col min="13" max="16384" width="8.88671875" style="300"/>
  </cols>
  <sheetData>
    <row r="1" spans="1:12" ht="43.95" customHeight="1">
      <c r="B1" s="1008"/>
      <c r="C1" s="1008"/>
      <c r="D1" s="1008"/>
      <c r="E1" s="1008"/>
      <c r="F1" s="1009" t="s">
        <v>713</v>
      </c>
      <c r="G1" s="1009"/>
      <c r="H1" s="1009"/>
    </row>
    <row r="2" spans="1:12" ht="25.2" customHeight="1">
      <c r="A2" s="1010" t="s">
        <v>379</v>
      </c>
      <c r="B2" s="1010"/>
      <c r="C2" s="1010"/>
      <c r="D2" s="1010"/>
      <c r="E2" s="1010"/>
      <c r="F2" s="1010"/>
      <c r="G2" s="1010"/>
      <c r="H2" s="1010"/>
    </row>
    <row r="3" spans="1:12">
      <c r="A3" s="870" t="s">
        <v>0</v>
      </c>
      <c r="B3" s="841" t="s">
        <v>6</v>
      </c>
      <c r="C3" s="1004" t="s">
        <v>17</v>
      </c>
      <c r="D3" s="1004"/>
      <c r="E3" s="841" t="s">
        <v>8</v>
      </c>
      <c r="F3" s="841" t="s">
        <v>76</v>
      </c>
      <c r="G3" s="841" t="s">
        <v>77</v>
      </c>
      <c r="H3" s="841" t="s">
        <v>78</v>
      </c>
    </row>
    <row r="4" spans="1:12">
      <c r="A4" s="870"/>
      <c r="B4" s="841"/>
      <c r="C4" s="841" t="s">
        <v>7</v>
      </c>
      <c r="D4" s="841" t="s">
        <v>79</v>
      </c>
      <c r="E4" s="841"/>
      <c r="F4" s="841"/>
      <c r="G4" s="841"/>
      <c r="H4" s="841"/>
    </row>
    <row r="5" spans="1:12">
      <c r="A5" s="870"/>
      <c r="B5" s="841"/>
      <c r="C5" s="841"/>
      <c r="D5" s="841"/>
      <c r="E5" s="841"/>
      <c r="F5" s="841"/>
      <c r="G5" s="841"/>
      <c r="H5" s="841"/>
    </row>
    <row r="6" spans="1:12" ht="6.6" customHeight="1">
      <c r="A6" s="870"/>
      <c r="B6" s="841"/>
      <c r="C6" s="841"/>
      <c r="D6" s="841"/>
      <c r="E6" s="841"/>
      <c r="F6" s="841"/>
      <c r="G6" s="841"/>
      <c r="H6" s="841"/>
    </row>
    <row r="7" spans="1:12" ht="19.95" customHeight="1">
      <c r="A7" s="1021" t="s">
        <v>3</v>
      </c>
      <c r="B7" s="1007" t="s">
        <v>80</v>
      </c>
      <c r="C7" s="1003" t="s">
        <v>131</v>
      </c>
      <c r="D7" s="1016">
        <f>D10+D40</f>
        <v>5150.74</v>
      </c>
      <c r="E7" s="1003" t="s">
        <v>81</v>
      </c>
      <c r="F7" s="302" t="s">
        <v>4</v>
      </c>
      <c r="G7" s="267">
        <f>G8+G9</f>
        <v>104613.03864000001</v>
      </c>
      <c r="H7" s="1003" t="s">
        <v>9</v>
      </c>
      <c r="I7" s="303"/>
      <c r="K7" s="303"/>
      <c r="L7" s="303"/>
    </row>
    <row r="8" spans="1:12" ht="19.95" customHeight="1">
      <c r="A8" s="1021"/>
      <c r="B8" s="1005"/>
      <c r="C8" s="1003"/>
      <c r="D8" s="1017"/>
      <c r="E8" s="1003"/>
      <c r="F8" s="302" t="s">
        <v>10</v>
      </c>
      <c r="G8" s="267">
        <f>G11+G41</f>
        <v>93951.934770000007</v>
      </c>
      <c r="H8" s="1003"/>
      <c r="I8" s="303"/>
      <c r="K8" s="303"/>
      <c r="L8" s="303"/>
    </row>
    <row r="9" spans="1:12" ht="19.95" customHeight="1">
      <c r="A9" s="1021"/>
      <c r="B9" s="1005"/>
      <c r="C9" s="304" t="s">
        <v>714</v>
      </c>
      <c r="D9" s="305">
        <f>D12+D42</f>
        <v>45682</v>
      </c>
      <c r="E9" s="1003"/>
      <c r="F9" s="302" t="s">
        <v>11</v>
      </c>
      <c r="G9" s="267">
        <f>G12+G42</f>
        <v>10661.103869999999</v>
      </c>
      <c r="H9" s="1003"/>
      <c r="I9" s="303"/>
      <c r="K9" s="303"/>
      <c r="L9" s="303"/>
    </row>
    <row r="10" spans="1:12">
      <c r="A10" s="1006" t="s">
        <v>82</v>
      </c>
      <c r="B10" s="1007" t="s">
        <v>83</v>
      </c>
      <c r="C10" s="1020" t="s">
        <v>131</v>
      </c>
      <c r="D10" s="1014">
        <f>D13+D16+D19+D22+D28+D31+D34</f>
        <v>3586.74</v>
      </c>
      <c r="E10" s="1020" t="s">
        <v>81</v>
      </c>
      <c r="F10" s="302" t="s">
        <v>4</v>
      </c>
      <c r="G10" s="270">
        <f>G11+G12</f>
        <v>70037.418439999994</v>
      </c>
      <c r="H10" s="1003" t="s">
        <v>9</v>
      </c>
      <c r="I10" s="303"/>
    </row>
    <row r="11" spans="1:12">
      <c r="A11" s="1006"/>
      <c r="B11" s="1007"/>
      <c r="C11" s="1020"/>
      <c r="D11" s="1015"/>
      <c r="E11" s="1020"/>
      <c r="F11" s="302" t="s">
        <v>10</v>
      </c>
      <c r="G11" s="270">
        <f>G14+G17+G20+G23+G26+G29+G32+G35+G38</f>
        <v>62833.87659</v>
      </c>
      <c r="H11" s="1003"/>
      <c r="I11" s="303"/>
    </row>
    <row r="12" spans="1:12" ht="13.2">
      <c r="A12" s="1006"/>
      <c r="B12" s="1007"/>
      <c r="C12" s="306" t="s">
        <v>715</v>
      </c>
      <c r="D12" s="307">
        <f>D15+D18+D21+D24+D30+D33+D36</f>
        <v>33054</v>
      </c>
      <c r="E12" s="1020"/>
      <c r="F12" s="302" t="s">
        <v>11</v>
      </c>
      <c r="G12" s="270">
        <f>G15+G18+G21+G24+G27+G30+G33+G36+G39</f>
        <v>7203.5418499999996</v>
      </c>
      <c r="H12" s="1003"/>
      <c r="I12" s="303"/>
    </row>
    <row r="13" spans="1:12">
      <c r="A13" s="1011" t="s">
        <v>12</v>
      </c>
      <c r="B13" s="1012" t="s">
        <v>156</v>
      </c>
      <c r="C13" s="1013" t="s">
        <v>131</v>
      </c>
      <c r="D13" s="1018">
        <v>75</v>
      </c>
      <c r="E13" s="1013" t="s">
        <v>81</v>
      </c>
      <c r="F13" s="308" t="s">
        <v>4</v>
      </c>
      <c r="G13" s="270">
        <v>2430.9059699999998</v>
      </c>
      <c r="H13" s="1003" t="s">
        <v>84</v>
      </c>
    </row>
    <row r="14" spans="1:12">
      <c r="A14" s="1011"/>
      <c r="B14" s="1012"/>
      <c r="C14" s="1013"/>
      <c r="D14" s="1019"/>
      <c r="E14" s="1013"/>
      <c r="F14" s="309" t="s">
        <v>10</v>
      </c>
      <c r="G14" s="275">
        <f>G13-G15</f>
        <v>2187.8153699999998</v>
      </c>
      <c r="H14" s="1003"/>
    </row>
    <row r="15" spans="1:12" ht="14.4">
      <c r="A15" s="1011"/>
      <c r="B15" s="1012"/>
      <c r="C15" s="288" t="s">
        <v>714</v>
      </c>
      <c r="D15" s="310">
        <v>1400</v>
      </c>
      <c r="E15" s="1013"/>
      <c r="F15" s="309" t="s">
        <v>11</v>
      </c>
      <c r="G15" s="276">
        <f>ROUND(G13*0.1,5)</f>
        <v>243.09059999999999</v>
      </c>
      <c r="H15" s="1003"/>
    </row>
    <row r="16" spans="1:12">
      <c r="A16" s="1011" t="s">
        <v>13</v>
      </c>
      <c r="B16" s="1012" t="s">
        <v>152</v>
      </c>
      <c r="C16" s="1013" t="s">
        <v>131</v>
      </c>
      <c r="D16" s="1018">
        <v>1946.74</v>
      </c>
      <c r="E16" s="1013" t="s">
        <v>81</v>
      </c>
      <c r="F16" s="308" t="s">
        <v>4</v>
      </c>
      <c r="G16" s="270">
        <v>15914.310299999999</v>
      </c>
      <c r="H16" s="1003" t="s">
        <v>84</v>
      </c>
    </row>
    <row r="17" spans="1:9">
      <c r="A17" s="1011"/>
      <c r="B17" s="1012"/>
      <c r="C17" s="1013"/>
      <c r="D17" s="1019"/>
      <c r="E17" s="1013"/>
      <c r="F17" s="309" t="s">
        <v>10</v>
      </c>
      <c r="G17" s="275">
        <f>G16-G18</f>
        <v>14322.879269999999</v>
      </c>
      <c r="H17" s="1003"/>
    </row>
    <row r="18" spans="1:9" ht="14.4">
      <c r="A18" s="1011"/>
      <c r="B18" s="1012"/>
      <c r="C18" s="288" t="s">
        <v>714</v>
      </c>
      <c r="D18" s="310">
        <v>13627.2</v>
      </c>
      <c r="E18" s="1013"/>
      <c r="F18" s="309" t="s">
        <v>11</v>
      </c>
      <c r="G18" s="276">
        <f>ROUND(G16*0.1,5)</f>
        <v>1591.43103</v>
      </c>
      <c r="H18" s="1003"/>
    </row>
    <row r="19" spans="1:9">
      <c r="A19" s="1011" t="s">
        <v>200</v>
      </c>
      <c r="B19" s="1022" t="s">
        <v>345</v>
      </c>
      <c r="C19" s="1013" t="s">
        <v>131</v>
      </c>
      <c r="D19" s="1018">
        <v>330</v>
      </c>
      <c r="E19" s="1013" t="s">
        <v>81</v>
      </c>
      <c r="F19" s="308" t="s">
        <v>4</v>
      </c>
      <c r="G19" s="270">
        <v>5002.4307799999997</v>
      </c>
      <c r="H19" s="1003" t="s">
        <v>84</v>
      </c>
    </row>
    <row r="20" spans="1:9">
      <c r="A20" s="1011"/>
      <c r="B20" s="1022"/>
      <c r="C20" s="1013"/>
      <c r="D20" s="1019"/>
      <c r="E20" s="1013"/>
      <c r="F20" s="309" t="s">
        <v>10</v>
      </c>
      <c r="G20" s="275">
        <f>G19-G21</f>
        <v>4502.1876999999995</v>
      </c>
      <c r="H20" s="1003"/>
    </row>
    <row r="21" spans="1:9" ht="14.4">
      <c r="A21" s="1011"/>
      <c r="B21" s="1022"/>
      <c r="C21" s="288" t="s">
        <v>714</v>
      </c>
      <c r="D21" s="310">
        <v>2320</v>
      </c>
      <c r="E21" s="1013"/>
      <c r="F21" s="309" t="s">
        <v>11</v>
      </c>
      <c r="G21" s="276">
        <f>ROUND(G19*0.1,5)</f>
        <v>500.24308000000002</v>
      </c>
      <c r="H21" s="1003"/>
    </row>
    <row r="22" spans="1:9" ht="18" customHeight="1">
      <c r="A22" s="1011" t="s">
        <v>201</v>
      </c>
      <c r="B22" s="1022" t="s">
        <v>380</v>
      </c>
      <c r="C22" s="1013" t="s">
        <v>131</v>
      </c>
      <c r="D22" s="1018">
        <v>75</v>
      </c>
      <c r="E22" s="1013" t="s">
        <v>81</v>
      </c>
      <c r="F22" s="308" t="s">
        <v>4</v>
      </c>
      <c r="G22" s="311">
        <v>3185.8678799999998</v>
      </c>
      <c r="H22" s="1003" t="s">
        <v>84</v>
      </c>
    </row>
    <row r="23" spans="1:9" ht="18" customHeight="1">
      <c r="A23" s="1011"/>
      <c r="B23" s="1022"/>
      <c r="C23" s="1013"/>
      <c r="D23" s="1019"/>
      <c r="E23" s="1013"/>
      <c r="F23" s="309" t="s">
        <v>10</v>
      </c>
      <c r="G23" s="275">
        <f>G22-G24</f>
        <v>2867.2810899999999</v>
      </c>
      <c r="H23" s="1003"/>
    </row>
    <row r="24" spans="1:9" ht="18" customHeight="1">
      <c r="A24" s="1011"/>
      <c r="B24" s="1022"/>
      <c r="C24" s="288" t="s">
        <v>714</v>
      </c>
      <c r="D24" s="310">
        <v>1770</v>
      </c>
      <c r="E24" s="1013"/>
      <c r="F24" s="309" t="s">
        <v>11</v>
      </c>
      <c r="G24" s="276">
        <f>ROUND(G22*0.1,5)</f>
        <v>318.58679000000001</v>
      </c>
      <c r="H24" s="1003"/>
    </row>
    <row r="25" spans="1:9" ht="18" customHeight="1">
      <c r="A25" s="1011" t="s">
        <v>205</v>
      </c>
      <c r="B25" s="1022" t="s">
        <v>193</v>
      </c>
      <c r="C25" s="1013" t="s">
        <v>190</v>
      </c>
      <c r="D25" s="1023">
        <v>1</v>
      </c>
      <c r="E25" s="1013" t="s">
        <v>81</v>
      </c>
      <c r="F25" s="308" t="s">
        <v>4</v>
      </c>
      <c r="G25" s="270">
        <f>G27</f>
        <v>205</v>
      </c>
      <c r="H25" s="1003" t="s">
        <v>85</v>
      </c>
    </row>
    <row r="26" spans="1:9" ht="18" customHeight="1">
      <c r="A26" s="1011"/>
      <c r="B26" s="1022"/>
      <c r="C26" s="1013"/>
      <c r="D26" s="1023"/>
      <c r="E26" s="1013"/>
      <c r="F26" s="309" t="s">
        <v>10</v>
      </c>
      <c r="G26" s="275">
        <v>0</v>
      </c>
      <c r="H26" s="1003"/>
      <c r="I26" s="303"/>
    </row>
    <row r="27" spans="1:9" ht="18" customHeight="1">
      <c r="A27" s="1011"/>
      <c r="B27" s="1022"/>
      <c r="C27" s="1013"/>
      <c r="D27" s="1023"/>
      <c r="E27" s="1013"/>
      <c r="F27" s="309" t="s">
        <v>11</v>
      </c>
      <c r="G27" s="276">
        <v>205</v>
      </c>
      <c r="H27" s="1003"/>
      <c r="I27" s="303"/>
    </row>
    <row r="28" spans="1:9" ht="18" customHeight="1">
      <c r="A28" s="1011" t="s">
        <v>355</v>
      </c>
      <c r="B28" s="1022" t="s">
        <v>356</v>
      </c>
      <c r="C28" s="1013" t="s">
        <v>131</v>
      </c>
      <c r="D28" s="1018">
        <v>350</v>
      </c>
      <c r="E28" s="1013" t="s">
        <v>81</v>
      </c>
      <c r="F28" s="308" t="s">
        <v>4</v>
      </c>
      <c r="G28" s="311">
        <v>16677.978500000001</v>
      </c>
      <c r="H28" s="1003" t="s">
        <v>84</v>
      </c>
    </row>
    <row r="29" spans="1:9" ht="18" customHeight="1">
      <c r="A29" s="1011"/>
      <c r="B29" s="1022"/>
      <c r="C29" s="1013"/>
      <c r="D29" s="1019"/>
      <c r="E29" s="1013"/>
      <c r="F29" s="309" t="s">
        <v>10</v>
      </c>
      <c r="G29" s="275">
        <f>G28-G30</f>
        <v>15010.180650000002</v>
      </c>
      <c r="H29" s="1003"/>
    </row>
    <row r="30" spans="1:9" ht="18" customHeight="1">
      <c r="A30" s="1011"/>
      <c r="B30" s="1022"/>
      <c r="C30" s="288" t="s">
        <v>714</v>
      </c>
      <c r="D30" s="310">
        <v>2700</v>
      </c>
      <c r="E30" s="1013"/>
      <c r="F30" s="309" t="s">
        <v>11</v>
      </c>
      <c r="G30" s="312">
        <f>ROUND(G28*0.1,5)</f>
        <v>1667.7978499999999</v>
      </c>
      <c r="H30" s="1003"/>
    </row>
    <row r="31" spans="1:9" ht="18" customHeight="1">
      <c r="A31" s="1011" t="s">
        <v>357</v>
      </c>
      <c r="B31" s="1022" t="s">
        <v>358</v>
      </c>
      <c r="C31" s="1013" t="s">
        <v>131</v>
      </c>
      <c r="D31" s="1018">
        <v>420</v>
      </c>
      <c r="E31" s="1013" t="s">
        <v>81</v>
      </c>
      <c r="F31" s="308" t="s">
        <v>4</v>
      </c>
      <c r="G31" s="311">
        <v>8872.7206100000003</v>
      </c>
      <c r="H31" s="1003" t="s">
        <v>84</v>
      </c>
    </row>
    <row r="32" spans="1:9" ht="18" customHeight="1">
      <c r="A32" s="1011"/>
      <c r="B32" s="1022"/>
      <c r="C32" s="1013"/>
      <c r="D32" s="1019"/>
      <c r="E32" s="1013"/>
      <c r="F32" s="309" t="s">
        <v>10</v>
      </c>
      <c r="G32" s="275">
        <f>G31-G33</f>
        <v>7985.4485500000001</v>
      </c>
      <c r="H32" s="1003"/>
    </row>
    <row r="33" spans="1:8" ht="18" customHeight="1">
      <c r="A33" s="1011"/>
      <c r="B33" s="1022"/>
      <c r="C33" s="288" t="s">
        <v>714</v>
      </c>
      <c r="D33" s="310">
        <v>3780</v>
      </c>
      <c r="E33" s="1013"/>
      <c r="F33" s="309" t="s">
        <v>11</v>
      </c>
      <c r="G33" s="312">
        <f>ROUND(G31*0.1,5)</f>
        <v>887.27206000000001</v>
      </c>
      <c r="H33" s="1003"/>
    </row>
    <row r="34" spans="1:8" ht="18" customHeight="1">
      <c r="A34" s="1011" t="s">
        <v>359</v>
      </c>
      <c r="B34" s="1022" t="s">
        <v>360</v>
      </c>
      <c r="C34" s="1013" t="s">
        <v>131</v>
      </c>
      <c r="D34" s="1018">
        <v>390</v>
      </c>
      <c r="E34" s="1013" t="s">
        <v>81</v>
      </c>
      <c r="F34" s="308" t="s">
        <v>4</v>
      </c>
      <c r="G34" s="311">
        <f>G35+G36</f>
        <v>17731.204399999999</v>
      </c>
      <c r="H34" s="1003" t="s">
        <v>84</v>
      </c>
    </row>
    <row r="35" spans="1:8" ht="18" customHeight="1">
      <c r="A35" s="1011"/>
      <c r="B35" s="1022"/>
      <c r="C35" s="1013"/>
      <c r="D35" s="1019"/>
      <c r="E35" s="1013"/>
      <c r="F35" s="309" t="s">
        <v>10</v>
      </c>
      <c r="G35" s="275">
        <f>15958.08396</f>
        <v>15958.08396</v>
      </c>
      <c r="H35" s="1003"/>
    </row>
    <row r="36" spans="1:8" ht="18" customHeight="1">
      <c r="A36" s="1011"/>
      <c r="B36" s="1022"/>
      <c r="C36" s="288" t="s">
        <v>714</v>
      </c>
      <c r="D36" s="310">
        <v>7456.8</v>
      </c>
      <c r="E36" s="1013"/>
      <c r="F36" s="309" t="s">
        <v>11</v>
      </c>
      <c r="G36" s="312">
        <f>1773.12044</f>
        <v>1773.1204399999999</v>
      </c>
      <c r="H36" s="1003"/>
    </row>
    <row r="37" spans="1:8" ht="18" customHeight="1">
      <c r="A37" s="1011" t="s">
        <v>395</v>
      </c>
      <c r="B37" s="1022" t="s">
        <v>396</v>
      </c>
      <c r="C37" s="1013"/>
      <c r="D37" s="1018"/>
      <c r="E37" s="1013" t="s">
        <v>81</v>
      </c>
      <c r="F37" s="308" t="s">
        <v>4</v>
      </c>
      <c r="G37" s="311">
        <f>G38+G39</f>
        <v>17</v>
      </c>
      <c r="H37" s="1003" t="s">
        <v>84</v>
      </c>
    </row>
    <row r="38" spans="1:8" ht="18" customHeight="1">
      <c r="A38" s="1011"/>
      <c r="B38" s="1022"/>
      <c r="C38" s="1013"/>
      <c r="D38" s="1019"/>
      <c r="E38" s="1013"/>
      <c r="F38" s="309" t="s">
        <v>10</v>
      </c>
      <c r="G38" s="275"/>
      <c r="H38" s="1003"/>
    </row>
    <row r="39" spans="1:8" ht="18" customHeight="1">
      <c r="A39" s="1011"/>
      <c r="B39" s="1022"/>
      <c r="C39" s="288" t="s">
        <v>714</v>
      </c>
      <c r="D39" s="310"/>
      <c r="E39" s="1013"/>
      <c r="F39" s="309" t="s">
        <v>11</v>
      </c>
      <c r="G39" s="312">
        <v>17</v>
      </c>
      <c r="H39" s="1003"/>
    </row>
    <row r="40" spans="1:8" ht="16.2" customHeight="1">
      <c r="A40" s="1024" t="s">
        <v>107</v>
      </c>
      <c r="B40" s="1025" t="s">
        <v>106</v>
      </c>
      <c r="C40" s="1026" t="s">
        <v>131</v>
      </c>
      <c r="D40" s="1027">
        <f>D43+D46+D49+D52</f>
        <v>1564</v>
      </c>
      <c r="E40" s="1026" t="s">
        <v>81</v>
      </c>
      <c r="F40" s="308" t="s">
        <v>4</v>
      </c>
      <c r="G40" s="311">
        <f>G41+G42</f>
        <v>34575.620200000005</v>
      </c>
      <c r="H40" s="1003" t="s">
        <v>84</v>
      </c>
    </row>
    <row r="41" spans="1:8" ht="16.2" customHeight="1">
      <c r="A41" s="1024"/>
      <c r="B41" s="1025"/>
      <c r="C41" s="1026"/>
      <c r="D41" s="1027"/>
      <c r="E41" s="1026"/>
      <c r="F41" s="309" t="s">
        <v>10</v>
      </c>
      <c r="G41" s="275">
        <f>G44+G47+G50+G53</f>
        <v>31118.058180000004</v>
      </c>
      <c r="H41" s="1003"/>
    </row>
    <row r="42" spans="1:8" ht="16.2" customHeight="1">
      <c r="A42" s="1024"/>
      <c r="B42" s="1025"/>
      <c r="C42" s="292" t="s">
        <v>715</v>
      </c>
      <c r="D42" s="313">
        <f>D45+D48+D51+D54</f>
        <v>12628</v>
      </c>
      <c r="E42" s="1026"/>
      <c r="F42" s="309" t="s">
        <v>11</v>
      </c>
      <c r="G42" s="275">
        <f>G45+G48+G51+G54</f>
        <v>3457.5620200000003</v>
      </c>
      <c r="H42" s="1003"/>
    </row>
    <row r="43" spans="1:8">
      <c r="A43" s="1011" t="s">
        <v>108</v>
      </c>
      <c r="B43" s="1022" t="s">
        <v>346</v>
      </c>
      <c r="C43" s="1013" t="s">
        <v>131</v>
      </c>
      <c r="D43" s="1023">
        <v>622</v>
      </c>
      <c r="E43" s="1013" t="s">
        <v>81</v>
      </c>
      <c r="F43" s="308" t="s">
        <v>4</v>
      </c>
      <c r="G43" s="311">
        <v>18280.32</v>
      </c>
      <c r="H43" s="1003" t="s">
        <v>84</v>
      </c>
    </row>
    <row r="44" spans="1:8">
      <c r="A44" s="1011"/>
      <c r="B44" s="1022"/>
      <c r="C44" s="1013"/>
      <c r="D44" s="1023"/>
      <c r="E44" s="1013"/>
      <c r="F44" s="309" t="s">
        <v>10</v>
      </c>
      <c r="G44" s="275">
        <f>G43-G45</f>
        <v>16452.288</v>
      </c>
      <c r="H44" s="1003"/>
    </row>
    <row r="45" spans="1:8" ht="14.4">
      <c r="A45" s="1011"/>
      <c r="B45" s="1022"/>
      <c r="C45" s="288" t="s">
        <v>714</v>
      </c>
      <c r="D45" s="310">
        <v>6796</v>
      </c>
      <c r="E45" s="1013"/>
      <c r="F45" s="309" t="s">
        <v>11</v>
      </c>
      <c r="G45" s="312">
        <f>ROUND(G43*0.1,5)</f>
        <v>1828.0319999999999</v>
      </c>
      <c r="H45" s="1003"/>
    </row>
    <row r="46" spans="1:8" ht="16.2" customHeight="1">
      <c r="A46" s="1011" t="s">
        <v>109</v>
      </c>
      <c r="B46" s="1012" t="s">
        <v>381</v>
      </c>
      <c r="C46" s="1013" t="s">
        <v>131</v>
      </c>
      <c r="D46" s="1023">
        <v>620</v>
      </c>
      <c r="E46" s="1013" t="s">
        <v>81</v>
      </c>
      <c r="F46" s="308" t="s">
        <v>4</v>
      </c>
      <c r="G46" s="311">
        <v>13413.3562</v>
      </c>
      <c r="H46" s="1003" t="s">
        <v>84</v>
      </c>
    </row>
    <row r="47" spans="1:8" ht="16.2" customHeight="1">
      <c r="A47" s="1011"/>
      <c r="B47" s="1012"/>
      <c r="C47" s="1013"/>
      <c r="D47" s="1023"/>
      <c r="E47" s="1013"/>
      <c r="F47" s="309" t="s">
        <v>10</v>
      </c>
      <c r="G47" s="275">
        <f>G46-G48</f>
        <v>12072.02058</v>
      </c>
      <c r="H47" s="1003"/>
    </row>
    <row r="48" spans="1:8" ht="16.2" customHeight="1">
      <c r="A48" s="1011"/>
      <c r="B48" s="1012"/>
      <c r="C48" s="288" t="s">
        <v>714</v>
      </c>
      <c r="D48" s="310">
        <v>4966</v>
      </c>
      <c r="E48" s="1013"/>
      <c r="F48" s="309" t="s">
        <v>11</v>
      </c>
      <c r="G48" s="312">
        <f>ROUND(G46*0.1,5)</f>
        <v>1341.3356200000001</v>
      </c>
      <c r="H48" s="1003"/>
    </row>
    <row r="49" spans="1:9">
      <c r="A49" s="1011" t="s">
        <v>110</v>
      </c>
      <c r="B49" s="1012" t="s">
        <v>153</v>
      </c>
      <c r="C49" s="1013" t="s">
        <v>131</v>
      </c>
      <c r="D49" s="1023">
        <v>100</v>
      </c>
      <c r="E49" s="1013" t="s">
        <v>81</v>
      </c>
      <c r="F49" s="308" t="s">
        <v>4</v>
      </c>
      <c r="G49" s="311">
        <v>1110.2550000000001</v>
      </c>
      <c r="H49" s="1003" t="s">
        <v>84</v>
      </c>
    </row>
    <row r="50" spans="1:9">
      <c r="A50" s="1011"/>
      <c r="B50" s="1012"/>
      <c r="C50" s="1013"/>
      <c r="D50" s="1023"/>
      <c r="E50" s="1013"/>
      <c r="F50" s="309" t="s">
        <v>10</v>
      </c>
      <c r="G50" s="275">
        <f>G49-G51</f>
        <v>999.22950000000014</v>
      </c>
      <c r="H50" s="1003"/>
    </row>
    <row r="51" spans="1:9" ht="14.4">
      <c r="A51" s="1011"/>
      <c r="B51" s="1012"/>
      <c r="C51" s="288" t="s">
        <v>714</v>
      </c>
      <c r="D51" s="310">
        <v>600</v>
      </c>
      <c r="E51" s="1013"/>
      <c r="F51" s="309" t="s">
        <v>11</v>
      </c>
      <c r="G51" s="312">
        <f>ROUND(G49*0.1,5)</f>
        <v>111.02549999999999</v>
      </c>
      <c r="H51" s="1003"/>
    </row>
    <row r="52" spans="1:9">
      <c r="A52" s="1011" t="s">
        <v>111</v>
      </c>
      <c r="B52" s="1012" t="s">
        <v>202</v>
      </c>
      <c r="C52" s="1013" t="s">
        <v>131</v>
      </c>
      <c r="D52" s="1023">
        <v>222</v>
      </c>
      <c r="E52" s="1013" t="s">
        <v>81</v>
      </c>
      <c r="F52" s="308" t="s">
        <v>4</v>
      </c>
      <c r="G52" s="311">
        <v>1771.6890000000001</v>
      </c>
      <c r="H52" s="1003" t="s">
        <v>84</v>
      </c>
    </row>
    <row r="53" spans="1:9">
      <c r="A53" s="1011"/>
      <c r="B53" s="1012"/>
      <c r="C53" s="1013"/>
      <c r="D53" s="1023"/>
      <c r="E53" s="1013"/>
      <c r="F53" s="309" t="s">
        <v>10</v>
      </c>
      <c r="G53" s="275">
        <f>G52-G54</f>
        <v>1594.5201000000002</v>
      </c>
      <c r="H53" s="1003"/>
    </row>
    <row r="54" spans="1:9" ht="14.4">
      <c r="A54" s="1011"/>
      <c r="B54" s="1012"/>
      <c r="C54" s="288" t="s">
        <v>714</v>
      </c>
      <c r="D54" s="310">
        <v>266</v>
      </c>
      <c r="E54" s="1013"/>
      <c r="F54" s="309" t="s">
        <v>11</v>
      </c>
      <c r="G54" s="312">
        <f>ROUND(G52*0.1,5)</f>
        <v>177.16890000000001</v>
      </c>
      <c r="H54" s="1003"/>
    </row>
    <row r="55" spans="1:9">
      <c r="A55" s="1029" t="s">
        <v>48</v>
      </c>
      <c r="B55" s="1030" t="s">
        <v>86</v>
      </c>
      <c r="C55" s="1013" t="s">
        <v>9</v>
      </c>
      <c r="D55" s="1013" t="s">
        <v>9</v>
      </c>
      <c r="E55" s="1013" t="s">
        <v>81</v>
      </c>
      <c r="F55" s="308" t="s">
        <v>4</v>
      </c>
      <c r="G55" s="270">
        <f>G56+G57</f>
        <v>0</v>
      </c>
      <c r="H55" s="1003" t="s">
        <v>9</v>
      </c>
    </row>
    <row r="56" spans="1:9">
      <c r="A56" s="1029"/>
      <c r="B56" s="1030"/>
      <c r="C56" s="1013"/>
      <c r="D56" s="1013"/>
      <c r="E56" s="1013"/>
      <c r="F56" s="308" t="s">
        <v>10</v>
      </c>
      <c r="G56" s="270">
        <f>G59</f>
        <v>0</v>
      </c>
      <c r="H56" s="1003"/>
    </row>
    <row r="57" spans="1:9">
      <c r="A57" s="1029"/>
      <c r="B57" s="1030"/>
      <c r="C57" s="1013"/>
      <c r="D57" s="1013"/>
      <c r="E57" s="1013"/>
      <c r="F57" s="308" t="s">
        <v>11</v>
      </c>
      <c r="G57" s="270">
        <f>G60</f>
        <v>0</v>
      </c>
      <c r="H57" s="1003"/>
    </row>
    <row r="58" spans="1:9">
      <c r="A58" s="1028" t="s">
        <v>55</v>
      </c>
      <c r="B58" s="1012" t="s">
        <v>716</v>
      </c>
      <c r="C58" s="1013" t="s">
        <v>190</v>
      </c>
      <c r="D58" s="1013">
        <v>1</v>
      </c>
      <c r="E58" s="1013" t="s">
        <v>81</v>
      </c>
      <c r="F58" s="314" t="s">
        <v>4</v>
      </c>
      <c r="G58" s="270">
        <f>G59+G60</f>
        <v>0</v>
      </c>
      <c r="H58" s="1003" t="s">
        <v>87</v>
      </c>
    </row>
    <row r="59" spans="1:9">
      <c r="A59" s="839"/>
      <c r="B59" s="1012"/>
      <c r="C59" s="1013"/>
      <c r="D59" s="1013"/>
      <c r="E59" s="1013"/>
      <c r="F59" s="315" t="s">
        <v>10</v>
      </c>
      <c r="G59" s="275">
        <v>0</v>
      </c>
      <c r="H59" s="1003"/>
    </row>
    <row r="60" spans="1:9">
      <c r="A60" s="839"/>
      <c r="B60" s="1012"/>
      <c r="C60" s="1013"/>
      <c r="D60" s="1013"/>
      <c r="E60" s="1013"/>
      <c r="F60" s="315" t="s">
        <v>11</v>
      </c>
      <c r="G60" s="276">
        <v>0</v>
      </c>
      <c r="H60" s="1003"/>
    </row>
    <row r="61" spans="1:9" ht="16.95" customHeight="1">
      <c r="A61" s="1034" t="s">
        <v>88</v>
      </c>
      <c r="B61" s="1030" t="s">
        <v>89</v>
      </c>
      <c r="C61" s="289" t="s">
        <v>190</v>
      </c>
      <c r="D61" s="289">
        <f>D64</f>
        <v>56</v>
      </c>
      <c r="E61" s="1026" t="s">
        <v>9</v>
      </c>
      <c r="F61" s="314" t="s">
        <v>4</v>
      </c>
      <c r="G61" s="270">
        <f>G64+G67+G70+G73</f>
        <v>9343.2278900000001</v>
      </c>
      <c r="H61" s="1003" t="s">
        <v>9</v>
      </c>
    </row>
    <row r="62" spans="1:9" ht="16.95" customHeight="1">
      <c r="A62" s="1034"/>
      <c r="B62" s="1030"/>
      <c r="C62" s="290"/>
      <c r="D62" s="290"/>
      <c r="E62" s="1026"/>
      <c r="F62" s="315" t="s">
        <v>10</v>
      </c>
      <c r="G62" s="270">
        <f>G65+G68+G71+G74</f>
        <v>8255.6</v>
      </c>
      <c r="H62" s="1003"/>
    </row>
    <row r="63" spans="1:9" ht="16.95" customHeight="1">
      <c r="A63" s="1034"/>
      <c r="B63" s="1030"/>
      <c r="C63" s="291"/>
      <c r="D63" s="316"/>
      <c r="E63" s="1026"/>
      <c r="F63" s="315" t="s">
        <v>11</v>
      </c>
      <c r="G63" s="270">
        <f>G66+G69+G72+G75</f>
        <v>1087.62789</v>
      </c>
      <c r="H63" s="1003"/>
      <c r="I63" s="303"/>
    </row>
    <row r="64" spans="1:9">
      <c r="A64" s="1031" t="s">
        <v>90</v>
      </c>
      <c r="B64" s="1012" t="s">
        <v>347</v>
      </c>
      <c r="C64" s="1033" t="s">
        <v>190</v>
      </c>
      <c r="D64" s="1033">
        <v>56</v>
      </c>
      <c r="E64" s="1013" t="s">
        <v>81</v>
      </c>
      <c r="F64" s="317" t="s">
        <v>4</v>
      </c>
      <c r="G64" s="311">
        <v>1400</v>
      </c>
      <c r="H64" s="1004" t="s">
        <v>84</v>
      </c>
    </row>
    <row r="65" spans="1:9">
      <c r="A65" s="1032"/>
      <c r="B65" s="1012"/>
      <c r="C65" s="1033"/>
      <c r="D65" s="1033"/>
      <c r="E65" s="1013"/>
      <c r="F65" s="318" t="s">
        <v>10</v>
      </c>
      <c r="G65" s="275">
        <f>G64-G66</f>
        <v>1260</v>
      </c>
      <c r="H65" s="1004"/>
    </row>
    <row r="66" spans="1:9">
      <c r="A66" s="1032"/>
      <c r="B66" s="1012"/>
      <c r="C66" s="1033"/>
      <c r="D66" s="1033"/>
      <c r="E66" s="1013"/>
      <c r="F66" s="318" t="s">
        <v>11</v>
      </c>
      <c r="G66" s="312">
        <f>ROUND(G64*0.1,5)</f>
        <v>140</v>
      </c>
      <c r="H66" s="1004"/>
    </row>
    <row r="67" spans="1:9">
      <c r="A67" s="1028" t="s">
        <v>91</v>
      </c>
      <c r="B67" s="1012" t="s">
        <v>348</v>
      </c>
      <c r="C67" s="1013" t="s">
        <v>73</v>
      </c>
      <c r="D67" s="1013">
        <v>1.45</v>
      </c>
      <c r="E67" s="1013" t="s">
        <v>81</v>
      </c>
      <c r="F67" s="314" t="s">
        <v>4</v>
      </c>
      <c r="G67" s="311">
        <v>73.185000000000002</v>
      </c>
      <c r="H67" s="1003" t="s">
        <v>84</v>
      </c>
    </row>
    <row r="68" spans="1:9">
      <c r="A68" s="839"/>
      <c r="B68" s="1012"/>
      <c r="C68" s="1013"/>
      <c r="D68" s="1013"/>
      <c r="E68" s="1013"/>
      <c r="F68" s="315" t="s">
        <v>10</v>
      </c>
      <c r="G68" s="275">
        <v>65.866500000000002</v>
      </c>
      <c r="H68" s="1003"/>
    </row>
    <row r="69" spans="1:9">
      <c r="A69" s="839"/>
      <c r="B69" s="1012"/>
      <c r="C69" s="1013"/>
      <c r="D69" s="1013"/>
      <c r="E69" s="1013"/>
      <c r="F69" s="315" t="s">
        <v>11</v>
      </c>
      <c r="G69" s="312">
        <v>7.3185000000000002</v>
      </c>
      <c r="H69" s="1003"/>
    </row>
    <row r="70" spans="1:9">
      <c r="A70" s="1028" t="s">
        <v>382</v>
      </c>
      <c r="B70" s="1012" t="s">
        <v>405</v>
      </c>
      <c r="C70" s="1013" t="s">
        <v>73</v>
      </c>
      <c r="D70" s="1033">
        <v>0.49</v>
      </c>
      <c r="E70" s="1013" t="s">
        <v>81</v>
      </c>
      <c r="F70" s="314" t="s">
        <v>4</v>
      </c>
      <c r="G70" s="311">
        <v>399.99400000000003</v>
      </c>
      <c r="H70" s="1003" t="s">
        <v>84</v>
      </c>
    </row>
    <row r="71" spans="1:9">
      <c r="A71" s="839"/>
      <c r="B71" s="1012"/>
      <c r="C71" s="1013"/>
      <c r="D71" s="1033"/>
      <c r="E71" s="1013"/>
      <c r="F71" s="315" t="s">
        <v>10</v>
      </c>
      <c r="G71" s="275">
        <v>359.99459999999999</v>
      </c>
      <c r="H71" s="1003"/>
    </row>
    <row r="72" spans="1:9">
      <c r="A72" s="839"/>
      <c r="B72" s="1012"/>
      <c r="C72" s="1013"/>
      <c r="D72" s="1033"/>
      <c r="E72" s="1013"/>
      <c r="F72" s="315" t="s">
        <v>11</v>
      </c>
      <c r="G72" s="312">
        <v>39.999400000000001</v>
      </c>
      <c r="H72" s="1003"/>
    </row>
    <row r="73" spans="1:9">
      <c r="A73" s="1028" t="s">
        <v>383</v>
      </c>
      <c r="B73" s="1012" t="s">
        <v>404</v>
      </c>
      <c r="C73" s="1013" t="s">
        <v>73</v>
      </c>
      <c r="D73" s="1033">
        <v>3.0350000000000001</v>
      </c>
      <c r="E73" s="1013" t="s">
        <v>81</v>
      </c>
      <c r="F73" s="314" t="s">
        <v>4</v>
      </c>
      <c r="G73" s="311">
        <f>G74+G75</f>
        <v>7470.04889</v>
      </c>
      <c r="H73" s="1003" t="s">
        <v>84</v>
      </c>
    </row>
    <row r="74" spans="1:9">
      <c r="A74" s="839"/>
      <c r="B74" s="1012"/>
      <c r="C74" s="1013"/>
      <c r="D74" s="1033"/>
      <c r="E74" s="1013"/>
      <c r="F74" s="315" t="s">
        <v>10</v>
      </c>
      <c r="G74" s="275">
        <v>6569.7389000000003</v>
      </c>
      <c r="H74" s="1003"/>
      <c r="I74" s="303"/>
    </row>
    <row r="75" spans="1:9">
      <c r="A75" s="839"/>
      <c r="B75" s="1012"/>
      <c r="C75" s="1013"/>
      <c r="D75" s="1033"/>
      <c r="E75" s="1013"/>
      <c r="F75" s="315" t="s">
        <v>11</v>
      </c>
      <c r="G75" s="312">
        <v>900.30998999999997</v>
      </c>
      <c r="H75" s="1003"/>
    </row>
    <row r="76" spans="1:9" ht="19.2" customHeight="1">
      <c r="A76" s="1006" t="s">
        <v>92</v>
      </c>
      <c r="B76" s="1007" t="s">
        <v>93</v>
      </c>
      <c r="C76" s="1003" t="s">
        <v>9</v>
      </c>
      <c r="D76" s="1003" t="s">
        <v>9</v>
      </c>
      <c r="E76" s="1003" t="s">
        <v>9</v>
      </c>
      <c r="F76" s="302" t="s">
        <v>4</v>
      </c>
      <c r="G76" s="270">
        <f>G77+G78</f>
        <v>5207.1023000000005</v>
      </c>
      <c r="H76" s="1003" t="s">
        <v>9</v>
      </c>
    </row>
    <row r="77" spans="1:9" ht="19.2" customHeight="1">
      <c r="A77" s="1006"/>
      <c r="B77" s="1007"/>
      <c r="C77" s="1003"/>
      <c r="D77" s="1003"/>
      <c r="E77" s="1003"/>
      <c r="F77" s="302" t="s">
        <v>10</v>
      </c>
      <c r="G77" s="270">
        <f>G80+G83+G86+G89+G92+G95+G98</f>
        <v>0</v>
      </c>
      <c r="H77" s="1003"/>
    </row>
    <row r="78" spans="1:9" ht="19.2" customHeight="1">
      <c r="A78" s="1006"/>
      <c r="B78" s="1007"/>
      <c r="C78" s="1003"/>
      <c r="D78" s="1003"/>
      <c r="E78" s="1003"/>
      <c r="F78" s="302" t="s">
        <v>11</v>
      </c>
      <c r="G78" s="270">
        <f>G81+G84+G87+G90+G93+G96+G99</f>
        <v>5207.1023000000005</v>
      </c>
      <c r="H78" s="1003"/>
      <c r="I78" s="303"/>
    </row>
    <row r="79" spans="1:9">
      <c r="A79" s="1001" t="s">
        <v>94</v>
      </c>
      <c r="B79" s="1005" t="s">
        <v>154</v>
      </c>
      <c r="C79" s="1003" t="s">
        <v>190</v>
      </c>
      <c r="D79" s="1003">
        <v>0</v>
      </c>
      <c r="E79" s="1003" t="s">
        <v>81</v>
      </c>
      <c r="F79" s="319" t="s">
        <v>4</v>
      </c>
      <c r="G79" s="270">
        <f>G80+G81</f>
        <v>0</v>
      </c>
      <c r="H79" s="1003" t="s">
        <v>85</v>
      </c>
    </row>
    <row r="80" spans="1:9">
      <c r="A80" s="870"/>
      <c r="B80" s="1005"/>
      <c r="C80" s="1003"/>
      <c r="D80" s="1003"/>
      <c r="E80" s="1003"/>
      <c r="F80" s="320" t="s">
        <v>10</v>
      </c>
      <c r="G80" s="275">
        <v>0</v>
      </c>
      <c r="H80" s="1003"/>
    </row>
    <row r="81" spans="1:8">
      <c r="A81" s="870"/>
      <c r="B81" s="1005"/>
      <c r="C81" s="1003"/>
      <c r="D81" s="1003"/>
      <c r="E81" s="1003"/>
      <c r="F81" s="320" t="s">
        <v>11</v>
      </c>
      <c r="G81" s="276">
        <v>0</v>
      </c>
      <c r="H81" s="1003"/>
    </row>
    <row r="82" spans="1:8">
      <c r="A82" s="1001" t="s">
        <v>95</v>
      </c>
      <c r="B82" s="1005" t="s">
        <v>155</v>
      </c>
      <c r="C82" s="1003" t="s">
        <v>190</v>
      </c>
      <c r="D82" s="1003">
        <v>0</v>
      </c>
      <c r="E82" s="1003" t="s">
        <v>81</v>
      </c>
      <c r="F82" s="319" t="s">
        <v>4</v>
      </c>
      <c r="G82" s="270">
        <f>G83+G84</f>
        <v>0</v>
      </c>
      <c r="H82" s="1003" t="s">
        <v>85</v>
      </c>
    </row>
    <row r="83" spans="1:8">
      <c r="A83" s="870"/>
      <c r="B83" s="1005"/>
      <c r="C83" s="1003"/>
      <c r="D83" s="1003"/>
      <c r="E83" s="1003"/>
      <c r="F83" s="320" t="s">
        <v>10</v>
      </c>
      <c r="G83" s="275">
        <v>0</v>
      </c>
      <c r="H83" s="1003"/>
    </row>
    <row r="84" spans="1:8">
      <c r="A84" s="870"/>
      <c r="B84" s="1005"/>
      <c r="C84" s="1003"/>
      <c r="D84" s="1003"/>
      <c r="E84" s="1003"/>
      <c r="F84" s="320" t="s">
        <v>11</v>
      </c>
      <c r="G84" s="276">
        <v>0</v>
      </c>
      <c r="H84" s="1003"/>
    </row>
    <row r="85" spans="1:8">
      <c r="A85" s="1001" t="s">
        <v>96</v>
      </c>
      <c r="B85" s="1005" t="s">
        <v>97</v>
      </c>
      <c r="C85" s="1003" t="s">
        <v>190</v>
      </c>
      <c r="D85" s="1003">
        <v>0</v>
      </c>
      <c r="E85" s="1003" t="s">
        <v>81</v>
      </c>
      <c r="F85" s="319" t="s">
        <v>4</v>
      </c>
      <c r="G85" s="270">
        <f>G86+G87</f>
        <v>0</v>
      </c>
      <c r="H85" s="1003" t="s">
        <v>85</v>
      </c>
    </row>
    <row r="86" spans="1:8">
      <c r="A86" s="870"/>
      <c r="B86" s="1005"/>
      <c r="C86" s="1003"/>
      <c r="D86" s="1003"/>
      <c r="E86" s="1003"/>
      <c r="F86" s="320" t="s">
        <v>10</v>
      </c>
      <c r="G86" s="275">
        <v>0</v>
      </c>
      <c r="H86" s="1003"/>
    </row>
    <row r="87" spans="1:8">
      <c r="A87" s="870"/>
      <c r="B87" s="1005"/>
      <c r="C87" s="1003"/>
      <c r="D87" s="1003"/>
      <c r="E87" s="1003"/>
      <c r="F87" s="320" t="s">
        <v>11</v>
      </c>
      <c r="G87" s="276">
        <v>0</v>
      </c>
      <c r="H87" s="1003"/>
    </row>
    <row r="88" spans="1:8">
      <c r="A88" s="1001" t="s">
        <v>98</v>
      </c>
      <c r="B88" s="1005" t="s">
        <v>194</v>
      </c>
      <c r="C88" s="1003" t="s">
        <v>190</v>
      </c>
      <c r="D88" s="1003">
        <v>0</v>
      </c>
      <c r="E88" s="1003" t="s">
        <v>81</v>
      </c>
      <c r="F88" s="319" t="s">
        <v>4</v>
      </c>
      <c r="G88" s="270">
        <f>G89+G90</f>
        <v>0</v>
      </c>
      <c r="H88" s="1003" t="s">
        <v>85</v>
      </c>
    </row>
    <row r="89" spans="1:8">
      <c r="A89" s="870"/>
      <c r="B89" s="1005"/>
      <c r="C89" s="1003"/>
      <c r="D89" s="1003"/>
      <c r="E89" s="1003"/>
      <c r="F89" s="320" t="s">
        <v>10</v>
      </c>
      <c r="G89" s="275">
        <v>0</v>
      </c>
      <c r="H89" s="1003"/>
    </row>
    <row r="90" spans="1:8">
      <c r="A90" s="870"/>
      <c r="B90" s="1005"/>
      <c r="C90" s="1003"/>
      <c r="D90" s="1003"/>
      <c r="E90" s="1003"/>
      <c r="F90" s="320" t="s">
        <v>11</v>
      </c>
      <c r="G90" s="276">
        <v>0</v>
      </c>
      <c r="H90" s="1003"/>
    </row>
    <row r="91" spans="1:8">
      <c r="A91" s="1001" t="s">
        <v>195</v>
      </c>
      <c r="B91" s="1005" t="s">
        <v>717</v>
      </c>
      <c r="C91" s="1003" t="s">
        <v>190</v>
      </c>
      <c r="D91" s="1003">
        <v>1</v>
      </c>
      <c r="E91" s="1003" t="s">
        <v>81</v>
      </c>
      <c r="F91" s="319" t="s">
        <v>4</v>
      </c>
      <c r="G91" s="270">
        <f>G92+G93</f>
        <v>99.305499999999995</v>
      </c>
      <c r="H91" s="1003" t="s">
        <v>85</v>
      </c>
    </row>
    <row r="92" spans="1:8">
      <c r="A92" s="870"/>
      <c r="B92" s="1005"/>
      <c r="C92" s="1003"/>
      <c r="D92" s="1003"/>
      <c r="E92" s="1003"/>
      <c r="F92" s="320" t="s">
        <v>10</v>
      </c>
      <c r="G92" s="275">
        <v>0</v>
      </c>
      <c r="H92" s="1003"/>
    </row>
    <row r="93" spans="1:8">
      <c r="A93" s="870"/>
      <c r="B93" s="1005"/>
      <c r="C93" s="1003"/>
      <c r="D93" s="1003"/>
      <c r="E93" s="1003"/>
      <c r="F93" s="320" t="s">
        <v>11</v>
      </c>
      <c r="G93" s="276">
        <v>99.305499999999995</v>
      </c>
      <c r="H93" s="1003"/>
    </row>
    <row r="94" spans="1:8">
      <c r="A94" s="1001" t="s">
        <v>196</v>
      </c>
      <c r="B94" s="1005" t="s">
        <v>197</v>
      </c>
      <c r="C94" s="1003" t="s">
        <v>190</v>
      </c>
      <c r="D94" s="1003">
        <v>1</v>
      </c>
      <c r="E94" s="1003" t="s">
        <v>81</v>
      </c>
      <c r="F94" s="319" t="s">
        <v>4</v>
      </c>
      <c r="G94" s="270">
        <f>G95+G96</f>
        <v>95</v>
      </c>
      <c r="H94" s="1003" t="s">
        <v>85</v>
      </c>
    </row>
    <row r="95" spans="1:8">
      <c r="A95" s="870"/>
      <c r="B95" s="1005"/>
      <c r="C95" s="1003"/>
      <c r="D95" s="1003"/>
      <c r="E95" s="1003"/>
      <c r="F95" s="320" t="s">
        <v>10</v>
      </c>
      <c r="G95" s="275">
        <v>0</v>
      </c>
      <c r="H95" s="1003"/>
    </row>
    <row r="96" spans="1:8">
      <c r="A96" s="870"/>
      <c r="B96" s="1005"/>
      <c r="C96" s="1003"/>
      <c r="D96" s="1003"/>
      <c r="E96" s="1003"/>
      <c r="F96" s="320" t="s">
        <v>11</v>
      </c>
      <c r="G96" s="276">
        <v>95</v>
      </c>
      <c r="H96" s="1003"/>
    </row>
    <row r="97" spans="1:8" ht="14.4" customHeight="1">
      <c r="A97" s="1001" t="s">
        <v>203</v>
      </c>
      <c r="B97" s="1005" t="s">
        <v>204</v>
      </c>
      <c r="C97" s="1003" t="s">
        <v>190</v>
      </c>
      <c r="D97" s="1003">
        <v>1</v>
      </c>
      <c r="E97" s="1003" t="s">
        <v>81</v>
      </c>
      <c r="F97" s="319" t="s">
        <v>4</v>
      </c>
      <c r="G97" s="270">
        <f>G98+G99</f>
        <v>5012.7968000000001</v>
      </c>
      <c r="H97" s="1004" t="s">
        <v>84</v>
      </c>
    </row>
    <row r="98" spans="1:8">
      <c r="A98" s="870"/>
      <c r="B98" s="1005"/>
      <c r="C98" s="1003"/>
      <c r="D98" s="1003"/>
      <c r="E98" s="1003"/>
      <c r="F98" s="320" t="s">
        <v>10</v>
      </c>
      <c r="G98" s="275">
        <v>0</v>
      </c>
      <c r="H98" s="1004"/>
    </row>
    <row r="99" spans="1:8">
      <c r="A99" s="870"/>
      <c r="B99" s="1005"/>
      <c r="C99" s="1003"/>
      <c r="D99" s="1003"/>
      <c r="E99" s="1003"/>
      <c r="F99" s="320" t="s">
        <v>11</v>
      </c>
      <c r="G99" s="276">
        <v>5012.7968000000001</v>
      </c>
      <c r="H99" s="1004"/>
    </row>
    <row r="100" spans="1:8">
      <c r="A100" s="1006" t="s">
        <v>99</v>
      </c>
      <c r="B100" s="1007" t="s">
        <v>100</v>
      </c>
      <c r="C100" s="1003" t="s">
        <v>190</v>
      </c>
      <c r="D100" s="1003">
        <f>D103+D106+D109+D112+D115</f>
        <v>3</v>
      </c>
      <c r="E100" s="1003" t="s">
        <v>9</v>
      </c>
      <c r="F100" s="302" t="s">
        <v>4</v>
      </c>
      <c r="G100" s="311">
        <f>G101+G102</f>
        <v>1574.98</v>
      </c>
      <c r="H100" s="1003" t="s">
        <v>9</v>
      </c>
    </row>
    <row r="101" spans="1:8">
      <c r="A101" s="1006"/>
      <c r="B101" s="1007"/>
      <c r="C101" s="1003"/>
      <c r="D101" s="1003"/>
      <c r="E101" s="1003"/>
      <c r="F101" s="302" t="s">
        <v>10</v>
      </c>
      <c r="G101" s="311">
        <f>G104</f>
        <v>0</v>
      </c>
      <c r="H101" s="1003"/>
    </row>
    <row r="102" spans="1:8">
      <c r="A102" s="1006"/>
      <c r="B102" s="1007"/>
      <c r="C102" s="1003"/>
      <c r="D102" s="1003"/>
      <c r="E102" s="1003"/>
      <c r="F102" s="302" t="s">
        <v>11</v>
      </c>
      <c r="G102" s="311">
        <f>G105+G108+G111+G114+G117</f>
        <v>1574.98</v>
      </c>
      <c r="H102" s="1003"/>
    </row>
    <row r="103" spans="1:8">
      <c r="A103" s="1001" t="s">
        <v>101</v>
      </c>
      <c r="B103" s="1005" t="s">
        <v>102</v>
      </c>
      <c r="C103" s="1003" t="s">
        <v>190</v>
      </c>
      <c r="D103" s="1003">
        <v>0</v>
      </c>
      <c r="E103" s="1003">
        <v>2018</v>
      </c>
      <c r="F103" s="319" t="s">
        <v>4</v>
      </c>
      <c r="G103" s="270">
        <f>G104+G105</f>
        <v>0</v>
      </c>
      <c r="H103" s="1003" t="s">
        <v>87</v>
      </c>
    </row>
    <row r="104" spans="1:8">
      <c r="A104" s="870"/>
      <c r="B104" s="1005"/>
      <c r="C104" s="1003"/>
      <c r="D104" s="1003"/>
      <c r="E104" s="1003"/>
      <c r="F104" s="320" t="s">
        <v>10</v>
      </c>
      <c r="G104" s="275">
        <v>0</v>
      </c>
      <c r="H104" s="1003"/>
    </row>
    <row r="105" spans="1:8">
      <c r="A105" s="870"/>
      <c r="B105" s="1005"/>
      <c r="C105" s="1003"/>
      <c r="D105" s="1003"/>
      <c r="E105" s="1003"/>
      <c r="F105" s="320" t="s">
        <v>11</v>
      </c>
      <c r="G105" s="276">
        <v>0</v>
      </c>
      <c r="H105" s="1003"/>
    </row>
    <row r="106" spans="1:8">
      <c r="A106" s="1001" t="s">
        <v>198</v>
      </c>
      <c r="B106" s="1005" t="s">
        <v>199</v>
      </c>
      <c r="C106" s="1003" t="s">
        <v>190</v>
      </c>
      <c r="D106" s="1003">
        <v>1</v>
      </c>
      <c r="E106" s="1003">
        <v>2018</v>
      </c>
      <c r="F106" s="319" t="s">
        <v>4</v>
      </c>
      <c r="G106" s="270">
        <f>G107+G108</f>
        <v>476</v>
      </c>
      <c r="H106" s="1004" t="s">
        <v>84</v>
      </c>
    </row>
    <row r="107" spans="1:8">
      <c r="A107" s="870"/>
      <c r="B107" s="1005"/>
      <c r="C107" s="1003"/>
      <c r="D107" s="1003"/>
      <c r="E107" s="1003"/>
      <c r="F107" s="320" t="s">
        <v>10</v>
      </c>
      <c r="G107" s="275">
        <v>0</v>
      </c>
      <c r="H107" s="1004"/>
    </row>
    <row r="108" spans="1:8">
      <c r="A108" s="870"/>
      <c r="B108" s="1005"/>
      <c r="C108" s="1003"/>
      <c r="D108" s="1003"/>
      <c r="E108" s="1003"/>
      <c r="F108" s="320" t="s">
        <v>11</v>
      </c>
      <c r="G108" s="276">
        <v>476</v>
      </c>
      <c r="H108" s="1004"/>
    </row>
    <row r="109" spans="1:8">
      <c r="A109" s="1001" t="s">
        <v>349</v>
      </c>
      <c r="B109" s="1002" t="s">
        <v>350</v>
      </c>
      <c r="C109" s="1003" t="s">
        <v>190</v>
      </c>
      <c r="D109" s="1003">
        <v>0</v>
      </c>
      <c r="E109" s="1003">
        <v>2018</v>
      </c>
      <c r="F109" s="319" t="s">
        <v>4</v>
      </c>
      <c r="G109" s="270">
        <f>G110+G111</f>
        <v>0</v>
      </c>
      <c r="H109" s="1004" t="s">
        <v>84</v>
      </c>
    </row>
    <row r="110" spans="1:8">
      <c r="A110" s="870"/>
      <c r="B110" s="1002"/>
      <c r="C110" s="1003"/>
      <c r="D110" s="1003"/>
      <c r="E110" s="1003"/>
      <c r="F110" s="320" t="s">
        <v>10</v>
      </c>
      <c r="G110" s="275">
        <v>0</v>
      </c>
      <c r="H110" s="1004"/>
    </row>
    <row r="111" spans="1:8">
      <c r="A111" s="870"/>
      <c r="B111" s="1002"/>
      <c r="C111" s="1003"/>
      <c r="D111" s="1003"/>
      <c r="E111" s="1003"/>
      <c r="F111" s="320" t="s">
        <v>11</v>
      </c>
      <c r="G111" s="276">
        <v>0</v>
      </c>
      <c r="H111" s="1004"/>
    </row>
    <row r="112" spans="1:8">
      <c r="A112" s="1001" t="s">
        <v>351</v>
      </c>
      <c r="B112" s="1002" t="s">
        <v>353</v>
      </c>
      <c r="C112" s="1003" t="s">
        <v>190</v>
      </c>
      <c r="D112" s="1003">
        <v>1</v>
      </c>
      <c r="E112" s="1003">
        <v>2018</v>
      </c>
      <c r="F112" s="319" t="s">
        <v>4</v>
      </c>
      <c r="G112" s="270">
        <f>G113+G114</f>
        <v>98.98</v>
      </c>
      <c r="H112" s="1004" t="s">
        <v>84</v>
      </c>
    </row>
    <row r="113" spans="1:9">
      <c r="A113" s="870"/>
      <c r="B113" s="1002"/>
      <c r="C113" s="1003"/>
      <c r="D113" s="1003"/>
      <c r="E113" s="1003"/>
      <c r="F113" s="320" t="s">
        <v>10</v>
      </c>
      <c r="G113" s="275">
        <v>0</v>
      </c>
      <c r="H113" s="1004"/>
    </row>
    <row r="114" spans="1:9">
      <c r="A114" s="870"/>
      <c r="B114" s="1002"/>
      <c r="C114" s="1003"/>
      <c r="D114" s="1003"/>
      <c r="E114" s="1003"/>
      <c r="F114" s="320" t="s">
        <v>11</v>
      </c>
      <c r="G114" s="276">
        <v>98.98</v>
      </c>
      <c r="H114" s="1004"/>
    </row>
    <row r="115" spans="1:9">
      <c r="A115" s="1001" t="s">
        <v>352</v>
      </c>
      <c r="B115" s="1002" t="s">
        <v>354</v>
      </c>
      <c r="C115" s="1003" t="s">
        <v>190</v>
      </c>
      <c r="D115" s="1003">
        <v>1</v>
      </c>
      <c r="E115" s="1003">
        <v>2018</v>
      </c>
      <c r="F115" s="319" t="s">
        <v>4</v>
      </c>
      <c r="G115" s="270">
        <f>G116+G117</f>
        <v>1000</v>
      </c>
      <c r="H115" s="1004" t="s">
        <v>84</v>
      </c>
    </row>
    <row r="116" spans="1:9">
      <c r="A116" s="870"/>
      <c r="B116" s="1002"/>
      <c r="C116" s="1003"/>
      <c r="D116" s="1003"/>
      <c r="E116" s="1003"/>
      <c r="F116" s="320" t="s">
        <v>10</v>
      </c>
      <c r="G116" s="275">
        <v>0</v>
      </c>
      <c r="H116" s="1004"/>
    </row>
    <row r="117" spans="1:9">
      <c r="A117" s="870"/>
      <c r="B117" s="1002"/>
      <c r="C117" s="1003"/>
      <c r="D117" s="1003"/>
      <c r="E117" s="1003"/>
      <c r="F117" s="320" t="s">
        <v>11</v>
      </c>
      <c r="G117" s="276">
        <v>1000</v>
      </c>
      <c r="H117" s="1004"/>
    </row>
    <row r="118" spans="1:9">
      <c r="A118" s="1035"/>
      <c r="B118" s="1036" t="s">
        <v>103</v>
      </c>
      <c r="C118" s="1003"/>
      <c r="D118" s="1003"/>
      <c r="E118" s="1003"/>
      <c r="F118" s="308" t="s">
        <v>4</v>
      </c>
      <c r="G118" s="321">
        <f>G7+G55+G61+G76+G100</f>
        <v>120738.34883</v>
      </c>
      <c r="H118" s="1003" t="s">
        <v>9</v>
      </c>
      <c r="I118" s="303"/>
    </row>
    <row r="119" spans="1:9">
      <c r="A119" s="1035"/>
      <c r="B119" s="1036"/>
      <c r="C119" s="1003"/>
      <c r="D119" s="1003"/>
      <c r="E119" s="1003"/>
      <c r="F119" s="308" t="s">
        <v>10</v>
      </c>
      <c r="G119" s="321">
        <f>G8+G56+G62+G77+G101</f>
        <v>102207.53477000001</v>
      </c>
      <c r="H119" s="1003"/>
      <c r="I119" s="303"/>
    </row>
    <row r="120" spans="1:9">
      <c r="A120" s="1035"/>
      <c r="B120" s="1036"/>
      <c r="C120" s="1003"/>
      <c r="D120" s="1003"/>
      <c r="E120" s="1003"/>
      <c r="F120" s="308" t="s">
        <v>11</v>
      </c>
      <c r="G120" s="321">
        <f>G9+G57+G63+G78+G102</f>
        <v>18530.814060000001</v>
      </c>
      <c r="H120" s="1003"/>
      <c r="I120" s="303"/>
    </row>
    <row r="121" spans="1:9">
      <c r="F121" s="322"/>
      <c r="G121" s="322"/>
      <c r="H121" s="323"/>
    </row>
    <row r="122" spans="1:9">
      <c r="F122" s="322"/>
      <c r="G122" s="324"/>
    </row>
    <row r="123" spans="1:9">
      <c r="F123" s="322"/>
      <c r="G123" s="324"/>
    </row>
    <row r="124" spans="1:9">
      <c r="F124" s="322"/>
      <c r="G124" s="322"/>
    </row>
    <row r="125" spans="1:9">
      <c r="F125" s="322"/>
      <c r="G125" s="322"/>
    </row>
    <row r="126" spans="1:9">
      <c r="F126" s="322"/>
      <c r="G126" s="322"/>
    </row>
    <row r="127" spans="1:9">
      <c r="F127" s="322"/>
      <c r="G127" s="322"/>
    </row>
    <row r="128" spans="1:9">
      <c r="F128" s="322"/>
      <c r="G128" s="322"/>
    </row>
    <row r="129" spans="6:7">
      <c r="F129" s="322"/>
      <c r="G129" s="322"/>
    </row>
    <row r="130" spans="6:7">
      <c r="F130" s="322"/>
      <c r="G130" s="322"/>
    </row>
    <row r="131" spans="6:7">
      <c r="F131" s="322"/>
      <c r="G131" s="322"/>
    </row>
    <row r="132" spans="6:7">
      <c r="F132" s="322"/>
      <c r="G132" s="322"/>
    </row>
    <row r="136" spans="6:7">
      <c r="F136" s="322"/>
      <c r="G136" s="322"/>
    </row>
    <row r="137" spans="6:7">
      <c r="F137" s="322"/>
      <c r="G137" s="322"/>
    </row>
    <row r="138" spans="6:7">
      <c r="F138" s="322"/>
      <c r="G138" s="322"/>
    </row>
    <row r="139" spans="6:7">
      <c r="F139" s="322"/>
      <c r="G139" s="322"/>
    </row>
    <row r="140" spans="6:7">
      <c r="F140" s="322"/>
      <c r="G140" s="322"/>
    </row>
    <row r="141" spans="6:7">
      <c r="F141" s="322"/>
      <c r="G141" s="322"/>
    </row>
    <row r="142" spans="6:7">
      <c r="F142" s="322"/>
      <c r="G142" s="322"/>
    </row>
    <row r="143" spans="6:7">
      <c r="F143" s="322"/>
      <c r="G143" s="322"/>
    </row>
    <row r="144" spans="6:7">
      <c r="F144" s="322"/>
      <c r="G144" s="322"/>
    </row>
    <row r="145" spans="6:7">
      <c r="F145" s="322"/>
      <c r="G145" s="322"/>
    </row>
    <row r="146" spans="6:7">
      <c r="F146" s="322"/>
      <c r="G146" s="322"/>
    </row>
    <row r="147" spans="6:7">
      <c r="F147" s="322"/>
      <c r="G147" s="322"/>
    </row>
    <row r="148" spans="6:7">
      <c r="F148" s="322"/>
      <c r="G148" s="322"/>
    </row>
    <row r="149" spans="6:7">
      <c r="F149" s="322"/>
      <c r="G149" s="322"/>
    </row>
    <row r="150" spans="6:7">
      <c r="F150" s="322"/>
      <c r="G150" s="322"/>
    </row>
    <row r="151" spans="6:7">
      <c r="F151" s="322"/>
      <c r="G151" s="322"/>
    </row>
    <row r="152" spans="6:7">
      <c r="F152" s="322"/>
      <c r="G152" s="322"/>
    </row>
    <row r="153" spans="6:7">
      <c r="F153" s="322"/>
      <c r="G153" s="322"/>
    </row>
    <row r="154" spans="6:7">
      <c r="F154" s="322"/>
      <c r="G154" s="322"/>
    </row>
    <row r="155" spans="6:7">
      <c r="F155" s="322"/>
      <c r="G155" s="322"/>
    </row>
    <row r="156" spans="6:7">
      <c r="F156" s="322"/>
      <c r="G156" s="322"/>
    </row>
    <row r="157" spans="6:7">
      <c r="F157" s="322"/>
      <c r="G157" s="322"/>
    </row>
    <row r="158" spans="6:7">
      <c r="F158" s="322"/>
      <c r="G158" s="322"/>
    </row>
    <row r="159" spans="6:7">
      <c r="F159" s="322"/>
      <c r="G159" s="322"/>
    </row>
    <row r="160" spans="6:7">
      <c r="F160" s="322"/>
      <c r="G160" s="322"/>
    </row>
    <row r="161" spans="6:7">
      <c r="F161" s="322"/>
      <c r="G161" s="322"/>
    </row>
    <row r="162" spans="6:7">
      <c r="F162" s="322"/>
      <c r="G162" s="322"/>
    </row>
    <row r="163" spans="6:7">
      <c r="F163" s="322"/>
      <c r="G163" s="322"/>
    </row>
    <row r="164" spans="6:7">
      <c r="F164" s="322"/>
      <c r="G164" s="322"/>
    </row>
    <row r="165" spans="6:7">
      <c r="F165" s="322"/>
      <c r="G165" s="322"/>
    </row>
    <row r="166" spans="6:7">
      <c r="F166" s="322"/>
      <c r="G166" s="322"/>
    </row>
    <row r="167" spans="6:7">
      <c r="F167" s="322"/>
      <c r="G167" s="322"/>
    </row>
    <row r="168" spans="6:7">
      <c r="F168" s="322"/>
      <c r="G168" s="322"/>
    </row>
    <row r="169" spans="6:7">
      <c r="F169" s="322"/>
      <c r="G169" s="322"/>
    </row>
    <row r="170" spans="6:7">
      <c r="F170" s="322"/>
      <c r="G170" s="322"/>
    </row>
    <row r="171" spans="6:7">
      <c r="F171" s="322"/>
      <c r="G171" s="322"/>
    </row>
    <row r="172" spans="6:7">
      <c r="F172" s="322"/>
      <c r="G172" s="322"/>
    </row>
    <row r="173" spans="6:7">
      <c r="F173" s="322"/>
      <c r="G173" s="322"/>
    </row>
    <row r="174" spans="6:7">
      <c r="F174" s="322"/>
      <c r="G174" s="322"/>
    </row>
    <row r="175" spans="6:7">
      <c r="F175" s="322"/>
      <c r="G175" s="322"/>
    </row>
    <row r="176" spans="6:7">
      <c r="F176" s="322"/>
      <c r="G176" s="322"/>
    </row>
    <row r="177" spans="6:7">
      <c r="F177" s="322"/>
      <c r="G177" s="322"/>
    </row>
    <row r="178" spans="6:7">
      <c r="F178" s="322"/>
      <c r="G178" s="322"/>
    </row>
    <row r="179" spans="6:7">
      <c r="F179" s="322"/>
      <c r="G179" s="322"/>
    </row>
    <row r="180" spans="6:7">
      <c r="F180" s="322"/>
      <c r="G180" s="322"/>
    </row>
    <row r="181" spans="6:7">
      <c r="F181" s="322"/>
      <c r="G181" s="322"/>
    </row>
    <row r="182" spans="6:7">
      <c r="F182" s="322"/>
      <c r="G182" s="322"/>
    </row>
    <row r="183" spans="6:7">
      <c r="F183" s="322"/>
      <c r="G183" s="322"/>
    </row>
    <row r="184" spans="6:7">
      <c r="F184" s="322"/>
      <c r="G184" s="322"/>
    </row>
    <row r="185" spans="6:7">
      <c r="F185" s="322"/>
      <c r="G185" s="322"/>
    </row>
    <row r="186" spans="6:7">
      <c r="F186" s="322"/>
      <c r="G186" s="322"/>
    </row>
    <row r="187" spans="6:7">
      <c r="F187" s="322"/>
      <c r="G187" s="322"/>
    </row>
    <row r="188" spans="6:7">
      <c r="F188" s="322"/>
      <c r="G188" s="322"/>
    </row>
    <row r="189" spans="6:7">
      <c r="F189" s="322"/>
      <c r="G189" s="322"/>
    </row>
    <row r="190" spans="6:7">
      <c r="F190" s="322"/>
      <c r="G190" s="322"/>
    </row>
    <row r="191" spans="6:7">
      <c r="F191" s="322"/>
      <c r="G191" s="322"/>
    </row>
    <row r="192" spans="6:7">
      <c r="F192" s="322"/>
      <c r="G192" s="322"/>
    </row>
    <row r="193" spans="6:7">
      <c r="F193" s="322"/>
      <c r="G193" s="322"/>
    </row>
    <row r="194" spans="6:7">
      <c r="F194" s="322"/>
      <c r="G194" s="322"/>
    </row>
    <row r="195" spans="6:7">
      <c r="F195" s="322"/>
      <c r="G195" s="322"/>
    </row>
    <row r="196" spans="6:7">
      <c r="F196" s="322"/>
      <c r="G196" s="322"/>
    </row>
    <row r="197" spans="6:7">
      <c r="F197" s="322"/>
      <c r="G197" s="322"/>
    </row>
    <row r="198" spans="6:7">
      <c r="F198" s="322"/>
      <c r="G198" s="322"/>
    </row>
    <row r="199" spans="6:7">
      <c r="F199" s="322"/>
      <c r="G199" s="322"/>
    </row>
    <row r="200" spans="6:7">
      <c r="F200" s="322"/>
      <c r="G200" s="322"/>
    </row>
    <row r="201" spans="6:7">
      <c r="F201" s="322"/>
      <c r="G201" s="322"/>
    </row>
    <row r="202" spans="6:7">
      <c r="F202" s="322"/>
      <c r="G202" s="322"/>
    </row>
    <row r="203" spans="6:7">
      <c r="F203" s="322"/>
      <c r="G203" s="322"/>
    </row>
    <row r="204" spans="6:7">
      <c r="F204" s="322"/>
      <c r="G204" s="322"/>
    </row>
    <row r="205" spans="6:7">
      <c r="F205" s="322"/>
      <c r="G205" s="322"/>
    </row>
    <row r="206" spans="6:7">
      <c r="F206" s="322"/>
      <c r="G206" s="322"/>
    </row>
    <row r="207" spans="6:7">
      <c r="F207" s="322"/>
      <c r="G207" s="322"/>
    </row>
    <row r="208" spans="6:7">
      <c r="F208" s="322"/>
      <c r="G208" s="322"/>
    </row>
    <row r="209" spans="6:7">
      <c r="F209" s="322"/>
      <c r="G209" s="322"/>
    </row>
    <row r="210" spans="6:7">
      <c r="F210" s="322"/>
      <c r="G210" s="322"/>
    </row>
    <row r="211" spans="6:7">
      <c r="F211" s="322"/>
      <c r="G211" s="322"/>
    </row>
    <row r="212" spans="6:7">
      <c r="F212" s="322"/>
      <c r="G212" s="322"/>
    </row>
    <row r="213" spans="6:7">
      <c r="F213" s="322"/>
      <c r="G213" s="322"/>
    </row>
    <row r="214" spans="6:7">
      <c r="F214" s="322"/>
      <c r="G214" s="322"/>
    </row>
    <row r="215" spans="6:7">
      <c r="F215" s="322"/>
      <c r="G215" s="322"/>
    </row>
    <row r="216" spans="6:7">
      <c r="F216" s="322"/>
      <c r="G216" s="322"/>
    </row>
    <row r="217" spans="6:7">
      <c r="F217" s="322"/>
      <c r="G217" s="322"/>
    </row>
    <row r="218" spans="6:7">
      <c r="F218" s="322"/>
      <c r="G218" s="322"/>
    </row>
    <row r="219" spans="6:7">
      <c r="F219" s="322"/>
      <c r="G219" s="322"/>
    </row>
    <row r="220" spans="6:7">
      <c r="F220" s="322"/>
      <c r="G220" s="322"/>
    </row>
    <row r="221" spans="6:7">
      <c r="F221" s="322"/>
      <c r="G221" s="322"/>
    </row>
    <row r="222" spans="6:7">
      <c r="F222" s="322"/>
      <c r="G222" s="322"/>
    </row>
    <row r="223" spans="6:7">
      <c r="F223" s="322"/>
      <c r="G223" s="322"/>
    </row>
    <row r="224" spans="6:7">
      <c r="F224" s="322"/>
      <c r="G224" s="322"/>
    </row>
    <row r="225" spans="6:7">
      <c r="F225" s="322"/>
      <c r="G225" s="322"/>
    </row>
    <row r="226" spans="6:7">
      <c r="F226" s="322"/>
      <c r="G226" s="322"/>
    </row>
    <row r="227" spans="6:7">
      <c r="F227" s="322"/>
      <c r="G227" s="322"/>
    </row>
    <row r="228" spans="6:7">
      <c r="F228" s="322"/>
      <c r="G228" s="322"/>
    </row>
    <row r="229" spans="6:7">
      <c r="F229" s="322"/>
      <c r="G229" s="322"/>
    </row>
    <row r="230" spans="6:7">
      <c r="F230" s="322"/>
      <c r="G230" s="322"/>
    </row>
    <row r="231" spans="6:7">
      <c r="F231" s="322"/>
      <c r="G231" s="322"/>
    </row>
    <row r="232" spans="6:7">
      <c r="F232" s="322"/>
      <c r="G232" s="322"/>
    </row>
    <row r="233" spans="6:7">
      <c r="F233" s="322"/>
      <c r="G233" s="322"/>
    </row>
    <row r="234" spans="6:7">
      <c r="F234" s="322"/>
      <c r="G234" s="322"/>
    </row>
    <row r="235" spans="6:7">
      <c r="F235" s="322"/>
      <c r="G235" s="322"/>
    </row>
    <row r="236" spans="6:7">
      <c r="F236" s="322"/>
      <c r="G236" s="322"/>
    </row>
    <row r="237" spans="6:7">
      <c r="F237" s="322"/>
      <c r="G237" s="322"/>
    </row>
    <row r="238" spans="6:7">
      <c r="F238" s="322"/>
      <c r="G238" s="322"/>
    </row>
    <row r="239" spans="6:7">
      <c r="F239" s="322"/>
      <c r="G239" s="322"/>
    </row>
    <row r="240" spans="6:7">
      <c r="F240" s="322"/>
      <c r="G240" s="322"/>
    </row>
    <row r="241" spans="6:7">
      <c r="F241" s="322"/>
      <c r="G241" s="322"/>
    </row>
    <row r="242" spans="6:7">
      <c r="F242" s="322"/>
      <c r="G242" s="322"/>
    </row>
    <row r="243" spans="6:7">
      <c r="F243" s="322"/>
      <c r="G243" s="322"/>
    </row>
    <row r="244" spans="6:7">
      <c r="F244" s="322"/>
      <c r="G244" s="322"/>
    </row>
    <row r="245" spans="6:7">
      <c r="F245" s="322"/>
      <c r="G245" s="322"/>
    </row>
    <row r="246" spans="6:7">
      <c r="F246" s="322"/>
      <c r="G246" s="322"/>
    </row>
    <row r="247" spans="6:7">
      <c r="F247" s="322"/>
      <c r="G247" s="322"/>
    </row>
    <row r="248" spans="6:7">
      <c r="F248" s="322"/>
      <c r="G248" s="322"/>
    </row>
    <row r="249" spans="6:7">
      <c r="F249" s="322"/>
      <c r="G249" s="322"/>
    </row>
    <row r="250" spans="6:7">
      <c r="F250" s="322"/>
      <c r="G250" s="322"/>
    </row>
    <row r="251" spans="6:7">
      <c r="F251" s="322"/>
      <c r="G251" s="322"/>
    </row>
    <row r="252" spans="6:7">
      <c r="F252" s="322"/>
      <c r="G252" s="322"/>
    </row>
    <row r="253" spans="6:7">
      <c r="F253" s="322"/>
      <c r="G253" s="322"/>
    </row>
    <row r="254" spans="6:7">
      <c r="F254" s="322"/>
      <c r="G254" s="322"/>
    </row>
    <row r="255" spans="6:7">
      <c r="F255" s="322"/>
      <c r="G255" s="322"/>
    </row>
    <row r="256" spans="6:7">
      <c r="F256" s="322"/>
      <c r="G256" s="322"/>
    </row>
    <row r="257" spans="6:7">
      <c r="F257" s="322"/>
      <c r="G257" s="322"/>
    </row>
    <row r="258" spans="6:7">
      <c r="F258" s="322"/>
      <c r="G258" s="322"/>
    </row>
    <row r="259" spans="6:7">
      <c r="F259" s="322"/>
      <c r="G259" s="322"/>
    </row>
    <row r="260" spans="6:7">
      <c r="F260" s="322"/>
      <c r="G260" s="322"/>
    </row>
    <row r="261" spans="6:7">
      <c r="F261" s="322"/>
      <c r="G261" s="322"/>
    </row>
    <row r="262" spans="6:7">
      <c r="F262" s="322"/>
      <c r="G262" s="322"/>
    </row>
    <row r="263" spans="6:7">
      <c r="F263" s="322"/>
      <c r="G263" s="322"/>
    </row>
    <row r="264" spans="6:7">
      <c r="F264" s="322"/>
      <c r="G264" s="322"/>
    </row>
    <row r="265" spans="6:7">
      <c r="F265" s="322"/>
      <c r="G265" s="322"/>
    </row>
    <row r="266" spans="6:7">
      <c r="F266" s="322"/>
      <c r="G266" s="322"/>
    </row>
    <row r="267" spans="6:7">
      <c r="F267" s="322"/>
      <c r="G267" s="322"/>
    </row>
    <row r="268" spans="6:7">
      <c r="F268" s="322"/>
      <c r="G268" s="322"/>
    </row>
    <row r="269" spans="6:7">
      <c r="F269" s="322"/>
      <c r="G269" s="322"/>
    </row>
    <row r="270" spans="6:7">
      <c r="F270" s="322"/>
      <c r="G270" s="322"/>
    </row>
    <row r="271" spans="6:7">
      <c r="F271" s="322"/>
      <c r="G271" s="322"/>
    </row>
    <row r="272" spans="6:7">
      <c r="F272" s="322"/>
      <c r="G272" s="322"/>
    </row>
    <row r="273" spans="6:7">
      <c r="F273" s="322"/>
      <c r="G273" s="322"/>
    </row>
  </sheetData>
  <mergeCells count="238">
    <mergeCell ref="A37:A39"/>
    <mergeCell ref="B37:B39"/>
    <mergeCell ref="C37:C38"/>
    <mergeCell ref="D37:D38"/>
    <mergeCell ref="E37:E39"/>
    <mergeCell ref="H37:H39"/>
    <mergeCell ref="A34:A36"/>
    <mergeCell ref="B34:B36"/>
    <mergeCell ref="C34:C35"/>
    <mergeCell ref="D34:D35"/>
    <mergeCell ref="E34:E36"/>
    <mergeCell ref="H34:H36"/>
    <mergeCell ref="A28:A30"/>
    <mergeCell ref="B28:B30"/>
    <mergeCell ref="C28:C29"/>
    <mergeCell ref="D28:D29"/>
    <mergeCell ref="E28:E30"/>
    <mergeCell ref="H28:H30"/>
    <mergeCell ref="A31:A33"/>
    <mergeCell ref="B31:B33"/>
    <mergeCell ref="C31:C32"/>
    <mergeCell ref="D31:D32"/>
    <mergeCell ref="E31:E33"/>
    <mergeCell ref="H31:H33"/>
    <mergeCell ref="A118:A120"/>
    <mergeCell ref="B118:B120"/>
    <mergeCell ref="C118:C120"/>
    <mergeCell ref="D118:D120"/>
    <mergeCell ref="E118:E120"/>
    <mergeCell ref="H118:H120"/>
    <mergeCell ref="A106:A108"/>
    <mergeCell ref="B106:B108"/>
    <mergeCell ref="C106:C108"/>
    <mergeCell ref="D106:D108"/>
    <mergeCell ref="E106:E108"/>
    <mergeCell ref="H106:H108"/>
    <mergeCell ref="A109:A111"/>
    <mergeCell ref="B109:B111"/>
    <mergeCell ref="C109:C111"/>
    <mergeCell ref="D109:D111"/>
    <mergeCell ref="E109:E111"/>
    <mergeCell ref="H109:H111"/>
    <mergeCell ref="A112:A114"/>
    <mergeCell ref="B112:B114"/>
    <mergeCell ref="C112:C114"/>
    <mergeCell ref="D112:D114"/>
    <mergeCell ref="E112:E114"/>
    <mergeCell ref="H112:H114"/>
    <mergeCell ref="A94:A96"/>
    <mergeCell ref="B94:B96"/>
    <mergeCell ref="C94:C96"/>
    <mergeCell ref="D94:D96"/>
    <mergeCell ref="E94:E96"/>
    <mergeCell ref="H94:H96"/>
    <mergeCell ref="A91:A93"/>
    <mergeCell ref="B91:B93"/>
    <mergeCell ref="C91:C93"/>
    <mergeCell ref="D91:D93"/>
    <mergeCell ref="E91:E93"/>
    <mergeCell ref="H91:H93"/>
    <mergeCell ref="A88:A90"/>
    <mergeCell ref="B88:B90"/>
    <mergeCell ref="C88:C90"/>
    <mergeCell ref="D88:D90"/>
    <mergeCell ref="E88:E90"/>
    <mergeCell ref="H88:H90"/>
    <mergeCell ref="A85:A87"/>
    <mergeCell ref="B85:B87"/>
    <mergeCell ref="C85:C87"/>
    <mergeCell ref="D85:D87"/>
    <mergeCell ref="E85:E87"/>
    <mergeCell ref="H85:H87"/>
    <mergeCell ref="A82:A84"/>
    <mergeCell ref="B82:B84"/>
    <mergeCell ref="C82:C84"/>
    <mergeCell ref="D82:D84"/>
    <mergeCell ref="E82:E84"/>
    <mergeCell ref="H82:H84"/>
    <mergeCell ref="A79:A81"/>
    <mergeCell ref="B79:B81"/>
    <mergeCell ref="C79:C81"/>
    <mergeCell ref="D79:D81"/>
    <mergeCell ref="E79:E81"/>
    <mergeCell ref="H79:H81"/>
    <mergeCell ref="A76:A78"/>
    <mergeCell ref="B76:B78"/>
    <mergeCell ref="C76:C78"/>
    <mergeCell ref="D76:D78"/>
    <mergeCell ref="E76:E78"/>
    <mergeCell ref="H76:H78"/>
    <mergeCell ref="A67:A69"/>
    <mergeCell ref="B67:B69"/>
    <mergeCell ref="C67:C69"/>
    <mergeCell ref="D67:D69"/>
    <mergeCell ref="E67:E69"/>
    <mergeCell ref="H67:H69"/>
    <mergeCell ref="A70:A72"/>
    <mergeCell ref="B70:B72"/>
    <mergeCell ref="C70:C72"/>
    <mergeCell ref="D70:D72"/>
    <mergeCell ref="E70:E72"/>
    <mergeCell ref="H70:H72"/>
    <mergeCell ref="A73:A75"/>
    <mergeCell ref="B73:B75"/>
    <mergeCell ref="C73:C75"/>
    <mergeCell ref="D73:D75"/>
    <mergeCell ref="E73:E75"/>
    <mergeCell ref="H73:H75"/>
    <mergeCell ref="A64:A66"/>
    <mergeCell ref="B64:B66"/>
    <mergeCell ref="C64:C66"/>
    <mergeCell ref="D64:D66"/>
    <mergeCell ref="E64:E66"/>
    <mergeCell ref="H64:H66"/>
    <mergeCell ref="A61:A63"/>
    <mergeCell ref="B61:B63"/>
    <mergeCell ref="E61:E63"/>
    <mergeCell ref="H61:H63"/>
    <mergeCell ref="A58:A60"/>
    <mergeCell ref="B58:B60"/>
    <mergeCell ref="C58:C60"/>
    <mergeCell ref="D58:D60"/>
    <mergeCell ref="E58:E60"/>
    <mergeCell ref="H58:H60"/>
    <mergeCell ref="A55:A57"/>
    <mergeCell ref="B55:B57"/>
    <mergeCell ref="C55:C57"/>
    <mergeCell ref="D55:D57"/>
    <mergeCell ref="E55:E57"/>
    <mergeCell ref="H55:H57"/>
    <mergeCell ref="A52:A54"/>
    <mergeCell ref="B52:B54"/>
    <mergeCell ref="C52:C53"/>
    <mergeCell ref="D52:D53"/>
    <mergeCell ref="E52:E54"/>
    <mergeCell ref="H52:H54"/>
    <mergeCell ref="A49:A51"/>
    <mergeCell ref="B49:B51"/>
    <mergeCell ref="C49:C50"/>
    <mergeCell ref="D49:D50"/>
    <mergeCell ref="E49:E51"/>
    <mergeCell ref="H49:H51"/>
    <mergeCell ref="A40:A42"/>
    <mergeCell ref="B40:B42"/>
    <mergeCell ref="C40:C41"/>
    <mergeCell ref="D40:D41"/>
    <mergeCell ref="E40:E42"/>
    <mergeCell ref="H40:H42"/>
    <mergeCell ref="A46:A48"/>
    <mergeCell ref="B46:B48"/>
    <mergeCell ref="C46:C47"/>
    <mergeCell ref="D46:D47"/>
    <mergeCell ref="E46:E48"/>
    <mergeCell ref="H46:H48"/>
    <mergeCell ref="A43:A45"/>
    <mergeCell ref="B43:B45"/>
    <mergeCell ref="C43:C44"/>
    <mergeCell ref="D43:D44"/>
    <mergeCell ref="E43:E45"/>
    <mergeCell ref="H43:H45"/>
    <mergeCell ref="A25:A27"/>
    <mergeCell ref="B25:B27"/>
    <mergeCell ref="E25:E27"/>
    <mergeCell ref="H25:H27"/>
    <mergeCell ref="A19:A21"/>
    <mergeCell ref="B19:B21"/>
    <mergeCell ref="C19:C20"/>
    <mergeCell ref="E19:E21"/>
    <mergeCell ref="H19:H21"/>
    <mergeCell ref="A22:A24"/>
    <mergeCell ref="B22:B24"/>
    <mergeCell ref="C22:C23"/>
    <mergeCell ref="E22:E24"/>
    <mergeCell ref="H22:H24"/>
    <mergeCell ref="D22:D23"/>
    <mergeCell ref="D19:D20"/>
    <mergeCell ref="C25:C27"/>
    <mergeCell ref="D25:D27"/>
    <mergeCell ref="A13:A15"/>
    <mergeCell ref="B13:B15"/>
    <mergeCell ref="C13:C14"/>
    <mergeCell ref="E13:E15"/>
    <mergeCell ref="D10:D11"/>
    <mergeCell ref="D7:D8"/>
    <mergeCell ref="H13:H15"/>
    <mergeCell ref="A16:A18"/>
    <mergeCell ref="B16:B18"/>
    <mergeCell ref="C16:C17"/>
    <mergeCell ref="E16:E18"/>
    <mergeCell ref="H16:H18"/>
    <mergeCell ref="D16:D17"/>
    <mergeCell ref="D13:D14"/>
    <mergeCell ref="H7:H9"/>
    <mergeCell ref="A10:A12"/>
    <mergeCell ref="B10:B12"/>
    <mergeCell ref="C10:C11"/>
    <mergeCell ref="E10:E12"/>
    <mergeCell ref="H10:H12"/>
    <mergeCell ref="A7:A9"/>
    <mergeCell ref="B7:B9"/>
    <mergeCell ref="C7:C8"/>
    <mergeCell ref="E7:E9"/>
    <mergeCell ref="B1:E1"/>
    <mergeCell ref="F1:H1"/>
    <mergeCell ref="A2:H2"/>
    <mergeCell ref="A3:A6"/>
    <mergeCell ref="B3:B6"/>
    <mergeCell ref="C3:D3"/>
    <mergeCell ref="E3:E6"/>
    <mergeCell ref="F3:F6"/>
    <mergeCell ref="G3:G6"/>
    <mergeCell ref="H3:H6"/>
    <mergeCell ref="C4:C6"/>
    <mergeCell ref="D4:D6"/>
    <mergeCell ref="A115:A117"/>
    <mergeCell ref="B115:B117"/>
    <mergeCell ref="C115:C117"/>
    <mergeCell ref="D115:D117"/>
    <mergeCell ref="E115:E117"/>
    <mergeCell ref="H115:H117"/>
    <mergeCell ref="A97:A99"/>
    <mergeCell ref="B97:B99"/>
    <mergeCell ref="C97:C99"/>
    <mergeCell ref="D97:D99"/>
    <mergeCell ref="E97:E99"/>
    <mergeCell ref="H97:H99"/>
    <mergeCell ref="A103:A105"/>
    <mergeCell ref="B103:B105"/>
    <mergeCell ref="C103:C105"/>
    <mergeCell ref="D103:D105"/>
    <mergeCell ref="E103:E105"/>
    <mergeCell ref="H103:H105"/>
    <mergeCell ref="A100:A102"/>
    <mergeCell ref="B100:B102"/>
    <mergeCell ref="C100:C102"/>
    <mergeCell ref="D100:D102"/>
    <mergeCell ref="E100:E102"/>
    <mergeCell ref="H100:H102"/>
  </mergeCells>
  <pageMargins left="0.78740157480314965" right="0.39370078740157483" top="0.19685039370078741" bottom="0.19685039370078741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2"/>
  <sheetViews>
    <sheetView tabSelected="1" workbookViewId="0">
      <selection activeCell="M42" sqref="M42"/>
    </sheetView>
  </sheetViews>
  <sheetFormatPr defaultColWidth="8.88671875" defaultRowHeight="14.4"/>
  <cols>
    <col min="1" max="1" width="6.44140625" style="254" customWidth="1"/>
    <col min="2" max="2" width="64.33203125" style="254" customWidth="1"/>
    <col min="3" max="5" width="8.88671875" style="254"/>
    <col min="6" max="6" width="18.33203125" style="264" customWidth="1"/>
    <col min="7" max="7" width="17.6640625" style="254" customWidth="1"/>
    <col min="8" max="9" width="8.88671875" style="265"/>
    <col min="10" max="10" width="12.44140625" style="254" hidden="1" customWidth="1"/>
    <col min="11" max="11" width="11.88671875" style="254" bestFit="1" customWidth="1"/>
    <col min="12" max="12" width="12" style="254" customWidth="1"/>
    <col min="13" max="13" width="10.88671875" style="254" bestFit="1" customWidth="1"/>
    <col min="14" max="16384" width="8.88671875" style="254"/>
  </cols>
  <sheetData>
    <row r="1" spans="1:13" ht="41.25" customHeight="1">
      <c r="F1" s="1037" t="s">
        <v>469</v>
      </c>
      <c r="G1" s="1037"/>
      <c r="H1" s="1037"/>
      <c r="I1" s="1037"/>
    </row>
    <row r="2" spans="1:13" ht="18" customHeight="1">
      <c r="A2" s="957" t="s">
        <v>658</v>
      </c>
      <c r="B2" s="957"/>
      <c r="C2" s="957"/>
      <c r="D2" s="957"/>
      <c r="E2" s="957"/>
      <c r="F2" s="957"/>
      <c r="G2" s="957"/>
      <c r="H2" s="957"/>
      <c r="I2" s="957"/>
    </row>
    <row r="3" spans="1:13" ht="15" customHeight="1">
      <c r="A3" s="1038" t="s">
        <v>0</v>
      </c>
      <c r="B3" s="1039" t="s">
        <v>6</v>
      </c>
      <c r="C3" s="1039" t="s">
        <v>7</v>
      </c>
      <c r="D3" s="1040" t="s">
        <v>79</v>
      </c>
      <c r="E3" s="1039" t="s">
        <v>369</v>
      </c>
      <c r="F3" s="1039" t="s">
        <v>76</v>
      </c>
      <c r="G3" s="1041" t="s">
        <v>77</v>
      </c>
      <c r="H3" s="1041" t="s">
        <v>370</v>
      </c>
      <c r="I3" s="1041"/>
    </row>
    <row r="4" spans="1:13">
      <c r="A4" s="1038"/>
      <c r="B4" s="1039"/>
      <c r="C4" s="1039"/>
      <c r="D4" s="1040"/>
      <c r="E4" s="1039"/>
      <c r="F4" s="1039"/>
      <c r="G4" s="1041"/>
      <c r="H4" s="1041"/>
      <c r="I4" s="1041"/>
    </row>
    <row r="5" spans="1:13" ht="12.6" customHeight="1">
      <c r="A5" s="1038"/>
      <c r="B5" s="1039"/>
      <c r="C5" s="1039"/>
      <c r="D5" s="1040"/>
      <c r="E5" s="1039"/>
      <c r="F5" s="1039"/>
      <c r="G5" s="1041"/>
      <c r="H5" s="1041"/>
      <c r="I5" s="1041"/>
    </row>
    <row r="6" spans="1:13" ht="19.2" customHeight="1">
      <c r="A6" s="1024" t="s">
        <v>3</v>
      </c>
      <c r="B6" s="1030" t="s">
        <v>371</v>
      </c>
      <c r="C6" s="1013"/>
      <c r="D6" s="1013"/>
      <c r="E6" s="839" t="s">
        <v>372</v>
      </c>
      <c r="F6" s="266" t="s">
        <v>4</v>
      </c>
      <c r="G6" s="267">
        <f>G7+G8</f>
        <v>121451.02372999997</v>
      </c>
      <c r="H6" s="839" t="s">
        <v>9</v>
      </c>
      <c r="I6" s="839"/>
    </row>
    <row r="7" spans="1:13" ht="19.2" customHeight="1">
      <c r="A7" s="1024"/>
      <c r="B7" s="1012"/>
      <c r="C7" s="268" t="s">
        <v>131</v>
      </c>
      <c r="D7" s="269">
        <f>D10+D64</f>
        <v>6067</v>
      </c>
      <c r="E7" s="839"/>
      <c r="F7" s="266" t="s">
        <v>10</v>
      </c>
      <c r="G7" s="267">
        <f>G10+G64</f>
        <v>87209.925639999972</v>
      </c>
      <c r="H7" s="839"/>
      <c r="I7" s="839"/>
      <c r="J7" s="255">
        <f>G7-G13-G16</f>
        <v>67700.905639999968</v>
      </c>
    </row>
    <row r="8" spans="1:13" ht="19.2" customHeight="1">
      <c r="A8" s="1024"/>
      <c r="B8" s="1012"/>
      <c r="C8" s="268" t="s">
        <v>215</v>
      </c>
      <c r="D8" s="269">
        <f>D11+D65</f>
        <v>49945.3</v>
      </c>
      <c r="E8" s="839"/>
      <c r="F8" s="266" t="s">
        <v>11</v>
      </c>
      <c r="G8" s="267">
        <f>G11+G65</f>
        <v>34241.09809</v>
      </c>
      <c r="H8" s="839"/>
      <c r="I8" s="839"/>
      <c r="J8" s="255">
        <f>G8-G14-G17</f>
        <v>29003.68232</v>
      </c>
      <c r="L8" s="255"/>
      <c r="M8" s="255"/>
    </row>
    <row r="9" spans="1:13" ht="16.2" customHeight="1">
      <c r="A9" s="1029" t="s">
        <v>82</v>
      </c>
      <c r="B9" s="1030" t="s">
        <v>83</v>
      </c>
      <c r="C9" s="1013"/>
      <c r="D9" s="1013"/>
      <c r="E9" s="839" t="s">
        <v>9</v>
      </c>
      <c r="F9" s="266" t="s">
        <v>4</v>
      </c>
      <c r="G9" s="270">
        <f>G10+G11</f>
        <v>106647.03600999998</v>
      </c>
      <c r="H9" s="840" t="s">
        <v>84</v>
      </c>
      <c r="I9" s="840"/>
    </row>
    <row r="10" spans="1:13" ht="16.2" customHeight="1">
      <c r="A10" s="1029"/>
      <c r="B10" s="1030"/>
      <c r="C10" s="268" t="s">
        <v>131</v>
      </c>
      <c r="D10" s="271">
        <f>D13+D16+D19+D22+D25+D28+D31+D34+D37+D40+D43+D46+D52</f>
        <v>5644</v>
      </c>
      <c r="E10" s="839"/>
      <c r="F10" s="266" t="s">
        <v>10</v>
      </c>
      <c r="G10" s="272">
        <f>G13+G16+G19+G22+G25+G28+G31+G34+G37+G40+G43+G46+G49+G52+G55+G58+G61</f>
        <v>77041.547689999978</v>
      </c>
      <c r="H10" s="840"/>
      <c r="I10" s="840"/>
    </row>
    <row r="11" spans="1:13" ht="16.2" customHeight="1">
      <c r="A11" s="1029"/>
      <c r="B11" s="1030"/>
      <c r="C11" s="268" t="s">
        <v>215</v>
      </c>
      <c r="D11" s="271">
        <f>D14+D17+D20+D23+D26+D29+D32+D35+D38+D41+D44+D47+D50+D53+D59+D62</f>
        <v>45046</v>
      </c>
      <c r="E11" s="839"/>
      <c r="F11" s="266" t="s">
        <v>11</v>
      </c>
      <c r="G11" s="272">
        <f>G14+G17+G20+G23+G26+G29+G32+G35+G38+G41+G44+G47+G50+G53+G56+G59+G62</f>
        <v>29605.48832</v>
      </c>
      <c r="H11" s="840"/>
      <c r="I11" s="840"/>
      <c r="K11" s="255"/>
    </row>
    <row r="12" spans="1:13" ht="16.2" customHeight="1">
      <c r="A12" s="1011" t="s">
        <v>35</v>
      </c>
      <c r="B12" s="1012" t="s">
        <v>419</v>
      </c>
      <c r="C12" s="1013"/>
      <c r="D12" s="1013"/>
      <c r="E12" s="839" t="s">
        <v>372</v>
      </c>
      <c r="F12" s="266" t="s">
        <v>4</v>
      </c>
      <c r="G12" s="270">
        <v>12709.425069999999</v>
      </c>
      <c r="H12" s="840" t="s">
        <v>84</v>
      </c>
      <c r="I12" s="840"/>
    </row>
    <row r="13" spans="1:13" ht="16.2" customHeight="1">
      <c r="A13" s="1011"/>
      <c r="B13" s="1012"/>
      <c r="C13" s="268" t="s">
        <v>131</v>
      </c>
      <c r="D13" s="273" t="s">
        <v>373</v>
      </c>
      <c r="E13" s="839"/>
      <c r="F13" s="274" t="s">
        <v>10</v>
      </c>
      <c r="G13" s="275">
        <f>G12-G14</f>
        <v>11438.482559999999</v>
      </c>
      <c r="H13" s="840"/>
      <c r="I13" s="840"/>
    </row>
    <row r="14" spans="1:13" ht="16.2" customHeight="1">
      <c r="A14" s="1011"/>
      <c r="B14" s="1012"/>
      <c r="C14" s="268" t="s">
        <v>215</v>
      </c>
      <c r="D14" s="273" t="s">
        <v>641</v>
      </c>
      <c r="E14" s="839"/>
      <c r="F14" s="274" t="s">
        <v>11</v>
      </c>
      <c r="G14" s="276">
        <f>ROUND(G12*0.1,5)</f>
        <v>1270.9425100000001</v>
      </c>
      <c r="H14" s="840"/>
      <c r="I14" s="840"/>
    </row>
    <row r="15" spans="1:13" ht="16.2" customHeight="1">
      <c r="A15" s="1011" t="s">
        <v>40</v>
      </c>
      <c r="B15" s="1012" t="s">
        <v>420</v>
      </c>
      <c r="C15" s="1013"/>
      <c r="D15" s="1013"/>
      <c r="E15" s="839" t="s">
        <v>372</v>
      </c>
      <c r="F15" s="266" t="s">
        <v>4</v>
      </c>
      <c r="G15" s="270">
        <f>G16+G17</f>
        <v>12037.010700000001</v>
      </c>
      <c r="H15" s="840" t="s">
        <v>84</v>
      </c>
      <c r="I15" s="840"/>
    </row>
    <row r="16" spans="1:13" ht="16.2" customHeight="1">
      <c r="A16" s="1011"/>
      <c r="B16" s="1012"/>
      <c r="C16" s="268" t="s">
        <v>131</v>
      </c>
      <c r="D16" s="273" t="s">
        <v>374</v>
      </c>
      <c r="E16" s="839"/>
      <c r="F16" s="274" t="s">
        <v>10</v>
      </c>
      <c r="G16" s="275">
        <v>8070.5374400000001</v>
      </c>
      <c r="H16" s="840"/>
      <c r="I16" s="840"/>
      <c r="J16" s="256"/>
    </row>
    <row r="17" spans="1:13" ht="16.2" customHeight="1">
      <c r="A17" s="1011"/>
      <c r="B17" s="1012"/>
      <c r="C17" s="268" t="s">
        <v>215</v>
      </c>
      <c r="D17" s="273" t="s">
        <v>642</v>
      </c>
      <c r="E17" s="839"/>
      <c r="F17" s="274" t="s">
        <v>11</v>
      </c>
      <c r="G17" s="276">
        <v>3966.4732600000002</v>
      </c>
      <c r="H17" s="840"/>
      <c r="I17" s="840"/>
      <c r="J17" s="256"/>
    </row>
    <row r="18" spans="1:13" ht="16.2" customHeight="1">
      <c r="A18" s="1011" t="s">
        <v>200</v>
      </c>
      <c r="B18" s="1012" t="s">
        <v>500</v>
      </c>
      <c r="C18" s="1013"/>
      <c r="D18" s="1013"/>
      <c r="E18" s="839" t="s">
        <v>372</v>
      </c>
      <c r="F18" s="266" t="s">
        <v>4</v>
      </c>
      <c r="G18" s="270">
        <v>16029.983</v>
      </c>
      <c r="H18" s="840" t="s">
        <v>84</v>
      </c>
      <c r="I18" s="840"/>
    </row>
    <row r="19" spans="1:13" ht="16.2" customHeight="1">
      <c r="A19" s="1011"/>
      <c r="B19" s="1012"/>
      <c r="C19" s="268" t="s">
        <v>131</v>
      </c>
      <c r="D19" s="273" t="s">
        <v>501</v>
      </c>
      <c r="E19" s="839"/>
      <c r="F19" s="274" t="s">
        <v>10</v>
      </c>
      <c r="G19" s="275">
        <f>G18-G20</f>
        <v>14426.984700000001</v>
      </c>
      <c r="H19" s="840"/>
      <c r="I19" s="840"/>
    </row>
    <row r="20" spans="1:13" ht="16.2" customHeight="1">
      <c r="A20" s="1011"/>
      <c r="B20" s="1012"/>
      <c r="C20" s="268" t="s">
        <v>215</v>
      </c>
      <c r="D20" s="273" t="s">
        <v>643</v>
      </c>
      <c r="E20" s="839"/>
      <c r="F20" s="274" t="s">
        <v>11</v>
      </c>
      <c r="G20" s="276">
        <f>ROUND(G18*0.1,5)</f>
        <v>1602.9983</v>
      </c>
      <c r="H20" s="840"/>
      <c r="I20" s="840"/>
    </row>
    <row r="21" spans="1:13" ht="16.2" customHeight="1">
      <c r="A21" s="1011" t="s">
        <v>201</v>
      </c>
      <c r="B21" s="1012" t="s">
        <v>491</v>
      </c>
      <c r="C21" s="1013"/>
      <c r="D21" s="1013"/>
      <c r="E21" s="839" t="s">
        <v>372</v>
      </c>
      <c r="F21" s="266" t="s">
        <v>4</v>
      </c>
      <c r="G21" s="270">
        <f>G22+G23</f>
        <v>6568.2755899999993</v>
      </c>
      <c r="H21" s="840" t="s">
        <v>84</v>
      </c>
      <c r="I21" s="840"/>
    </row>
    <row r="22" spans="1:13" ht="16.2" customHeight="1">
      <c r="A22" s="1011"/>
      <c r="B22" s="1012"/>
      <c r="C22" s="268" t="s">
        <v>131</v>
      </c>
      <c r="D22" s="273" t="s">
        <v>502</v>
      </c>
      <c r="E22" s="839"/>
      <c r="F22" s="274" t="s">
        <v>10</v>
      </c>
      <c r="G22" s="275">
        <v>4445.9436999999998</v>
      </c>
      <c r="H22" s="840"/>
      <c r="I22" s="840"/>
    </row>
    <row r="23" spans="1:13" ht="16.2" customHeight="1">
      <c r="A23" s="1011"/>
      <c r="B23" s="1012"/>
      <c r="C23" s="268" t="s">
        <v>215</v>
      </c>
      <c r="D23" s="273" t="s">
        <v>644</v>
      </c>
      <c r="E23" s="839"/>
      <c r="F23" s="274" t="s">
        <v>11</v>
      </c>
      <c r="G23" s="276">
        <v>2122.3318899999999</v>
      </c>
      <c r="H23" s="840"/>
      <c r="I23" s="840"/>
    </row>
    <row r="24" spans="1:13" ht="16.2" customHeight="1">
      <c r="A24" s="1011" t="s">
        <v>205</v>
      </c>
      <c r="B24" s="1012" t="s">
        <v>503</v>
      </c>
      <c r="C24" s="1013"/>
      <c r="D24" s="1013"/>
      <c r="E24" s="839" t="s">
        <v>372</v>
      </c>
      <c r="F24" s="266" t="s">
        <v>4</v>
      </c>
      <c r="G24" s="270">
        <f>G25+G26</f>
        <v>1459.8102699999999</v>
      </c>
      <c r="H24" s="840" t="s">
        <v>84</v>
      </c>
      <c r="I24" s="840"/>
    </row>
    <row r="25" spans="1:13" ht="16.2" customHeight="1">
      <c r="A25" s="1011"/>
      <c r="B25" s="1012"/>
      <c r="C25" s="268" t="s">
        <v>131</v>
      </c>
      <c r="D25" s="273" t="s">
        <v>504</v>
      </c>
      <c r="E25" s="839"/>
      <c r="F25" s="274" t="s">
        <v>10</v>
      </c>
      <c r="G25" s="275">
        <v>1082.73011</v>
      </c>
      <c r="H25" s="840"/>
      <c r="I25" s="840"/>
    </row>
    <row r="26" spans="1:13" ht="16.2" customHeight="1">
      <c r="A26" s="1011"/>
      <c r="B26" s="1012"/>
      <c r="C26" s="268" t="s">
        <v>215</v>
      </c>
      <c r="D26" s="273" t="s">
        <v>645</v>
      </c>
      <c r="E26" s="839"/>
      <c r="F26" s="274" t="s">
        <v>11</v>
      </c>
      <c r="G26" s="276">
        <v>377.08015999999998</v>
      </c>
      <c r="H26" s="840"/>
      <c r="I26" s="840"/>
      <c r="K26" s="255"/>
    </row>
    <row r="27" spans="1:13" ht="16.2" customHeight="1">
      <c r="A27" s="1011" t="s">
        <v>355</v>
      </c>
      <c r="B27" s="1012" t="s">
        <v>505</v>
      </c>
      <c r="C27" s="1013"/>
      <c r="D27" s="1013"/>
      <c r="E27" s="839" t="s">
        <v>372</v>
      </c>
      <c r="F27" s="266" t="s">
        <v>4</v>
      </c>
      <c r="G27" s="270">
        <v>15403.008</v>
      </c>
      <c r="H27" s="840" t="s">
        <v>84</v>
      </c>
      <c r="I27" s="840"/>
    </row>
    <row r="28" spans="1:13" ht="16.2" customHeight="1">
      <c r="A28" s="1011"/>
      <c r="B28" s="1012"/>
      <c r="C28" s="268" t="s">
        <v>131</v>
      </c>
      <c r="D28" s="273" t="s">
        <v>506</v>
      </c>
      <c r="E28" s="839"/>
      <c r="F28" s="274" t="s">
        <v>10</v>
      </c>
      <c r="G28" s="275">
        <f>G27-G29</f>
        <v>13862.707200000001</v>
      </c>
      <c r="H28" s="840"/>
      <c r="I28" s="840"/>
      <c r="J28" s="257"/>
    </row>
    <row r="29" spans="1:13" ht="16.2" customHeight="1">
      <c r="A29" s="1011"/>
      <c r="B29" s="1012"/>
      <c r="C29" s="268" t="s">
        <v>215</v>
      </c>
      <c r="D29" s="273" t="s">
        <v>507</v>
      </c>
      <c r="E29" s="839"/>
      <c r="F29" s="274" t="s">
        <v>11</v>
      </c>
      <c r="G29" s="276">
        <f>ROUND(G27*0.1,5)</f>
        <v>1540.3008</v>
      </c>
      <c r="H29" s="840"/>
      <c r="I29" s="840"/>
      <c r="J29" s="257"/>
    </row>
    <row r="30" spans="1:13" ht="16.2" customHeight="1">
      <c r="A30" s="1011" t="s">
        <v>357</v>
      </c>
      <c r="B30" s="1012" t="s">
        <v>508</v>
      </c>
      <c r="C30" s="1013"/>
      <c r="D30" s="1013"/>
      <c r="E30" s="839" t="s">
        <v>372</v>
      </c>
      <c r="F30" s="266" t="s">
        <v>4</v>
      </c>
      <c r="G30" s="270">
        <f>G31+G32</f>
        <v>17886.365000000002</v>
      </c>
      <c r="H30" s="840" t="s">
        <v>84</v>
      </c>
      <c r="I30" s="840"/>
    </row>
    <row r="31" spans="1:13" ht="16.2" customHeight="1">
      <c r="A31" s="1011"/>
      <c r="B31" s="1012"/>
      <c r="C31" s="268" t="s">
        <v>131</v>
      </c>
      <c r="D31" s="273" t="s">
        <v>509</v>
      </c>
      <c r="E31" s="839"/>
      <c r="F31" s="274" t="s">
        <v>10</v>
      </c>
      <c r="G31" s="275">
        <v>16096.5265</v>
      </c>
      <c r="H31" s="840"/>
      <c r="I31" s="840"/>
      <c r="J31" s="257"/>
    </row>
    <row r="32" spans="1:13" ht="16.2" customHeight="1">
      <c r="A32" s="1011"/>
      <c r="B32" s="1012"/>
      <c r="C32" s="268" t="s">
        <v>215</v>
      </c>
      <c r="D32" s="273" t="s">
        <v>510</v>
      </c>
      <c r="E32" s="839"/>
      <c r="F32" s="274" t="s">
        <v>11</v>
      </c>
      <c r="G32" s="276">
        <v>1789.8385000000001</v>
      </c>
      <c r="H32" s="840"/>
      <c r="I32" s="840"/>
      <c r="J32" s="257"/>
      <c r="K32" s="255"/>
      <c r="M32" s="255"/>
    </row>
    <row r="33" spans="1:13" ht="16.2" customHeight="1">
      <c r="A33" s="1011" t="s">
        <v>359</v>
      </c>
      <c r="B33" s="1012" t="s">
        <v>522</v>
      </c>
      <c r="C33" s="1013"/>
      <c r="D33" s="1013"/>
      <c r="E33" s="839" t="s">
        <v>372</v>
      </c>
      <c r="F33" s="266" t="s">
        <v>4</v>
      </c>
      <c r="G33" s="270">
        <f>G34+G35</f>
        <v>3620.7701700000002</v>
      </c>
      <c r="H33" s="840" t="s">
        <v>84</v>
      </c>
      <c r="I33" s="840"/>
    </row>
    <row r="34" spans="1:13" ht="16.2" customHeight="1">
      <c r="A34" s="1011"/>
      <c r="B34" s="1012"/>
      <c r="C34" s="268" t="s">
        <v>131</v>
      </c>
      <c r="D34" s="273" t="s">
        <v>502</v>
      </c>
      <c r="E34" s="839"/>
      <c r="F34" s="274" t="s">
        <v>10</v>
      </c>
      <c r="G34" s="275">
        <v>3101.2385800000002</v>
      </c>
      <c r="H34" s="840"/>
      <c r="I34" s="840"/>
    </row>
    <row r="35" spans="1:13" ht="16.2" customHeight="1">
      <c r="A35" s="1011"/>
      <c r="B35" s="1012"/>
      <c r="C35" s="268" t="s">
        <v>215</v>
      </c>
      <c r="D35" s="273" t="s">
        <v>646</v>
      </c>
      <c r="E35" s="839"/>
      <c r="F35" s="274" t="s">
        <v>11</v>
      </c>
      <c r="G35" s="276">
        <v>519.53159000000005</v>
      </c>
      <c r="H35" s="840"/>
      <c r="I35" s="840"/>
    </row>
    <row r="36" spans="1:13" ht="16.2" customHeight="1">
      <c r="A36" s="1011" t="s">
        <v>395</v>
      </c>
      <c r="B36" s="1012" t="s">
        <v>528</v>
      </c>
      <c r="C36" s="1013"/>
      <c r="D36" s="1013"/>
      <c r="E36" s="839" t="s">
        <v>372</v>
      </c>
      <c r="F36" s="266" t="s">
        <v>4</v>
      </c>
      <c r="G36" s="270">
        <f>G37+G38</f>
        <v>6880.4530000000004</v>
      </c>
      <c r="H36" s="840" t="s">
        <v>84</v>
      </c>
      <c r="I36" s="840"/>
      <c r="K36" s="255"/>
      <c r="L36" s="258"/>
      <c r="M36" s="255"/>
    </row>
    <row r="37" spans="1:13" ht="16.2" customHeight="1">
      <c r="A37" s="1011"/>
      <c r="B37" s="1012"/>
      <c r="C37" s="268" t="s">
        <v>131</v>
      </c>
      <c r="D37" s="273" t="s">
        <v>529</v>
      </c>
      <c r="E37" s="839"/>
      <c r="F37" s="274" t="s">
        <v>10</v>
      </c>
      <c r="G37" s="275"/>
      <c r="H37" s="840"/>
      <c r="I37" s="840"/>
      <c r="J37" s="255">
        <f>G36+G39+G42+G45+G51</f>
        <v>14702.062319999999</v>
      </c>
    </row>
    <row r="38" spans="1:13" ht="16.2" customHeight="1">
      <c r="A38" s="1011"/>
      <c r="B38" s="1012"/>
      <c r="C38" s="268" t="s">
        <v>215</v>
      </c>
      <c r="D38" s="273" t="s">
        <v>530</v>
      </c>
      <c r="E38" s="839"/>
      <c r="F38" s="274" t="s">
        <v>11</v>
      </c>
      <c r="G38" s="276">
        <v>6880.4530000000004</v>
      </c>
      <c r="H38" s="840"/>
      <c r="I38" s="840"/>
      <c r="M38" s="255"/>
    </row>
    <row r="39" spans="1:13" ht="15" customHeight="1">
      <c r="A39" s="1011" t="s">
        <v>524</v>
      </c>
      <c r="B39" s="1012" t="s">
        <v>531</v>
      </c>
      <c r="C39" s="1013"/>
      <c r="D39" s="1013"/>
      <c r="E39" s="839" t="s">
        <v>372</v>
      </c>
      <c r="F39" s="266" t="s">
        <v>4</v>
      </c>
      <c r="G39" s="270">
        <f>G40+G41</f>
        <v>211.19200000000001</v>
      </c>
      <c r="H39" s="840" t="s">
        <v>84</v>
      </c>
      <c r="I39" s="840"/>
    </row>
    <row r="40" spans="1:13" ht="15" customHeight="1">
      <c r="A40" s="1011"/>
      <c r="B40" s="1012"/>
      <c r="C40" s="268" t="s">
        <v>131</v>
      </c>
      <c r="D40" s="273" t="s">
        <v>532</v>
      </c>
      <c r="E40" s="839"/>
      <c r="F40" s="274" t="s">
        <v>10</v>
      </c>
      <c r="G40" s="275"/>
      <c r="H40" s="840"/>
      <c r="I40" s="840"/>
    </row>
    <row r="41" spans="1:13" ht="15" customHeight="1">
      <c r="A41" s="1011"/>
      <c r="B41" s="1012"/>
      <c r="C41" s="268" t="s">
        <v>215</v>
      </c>
      <c r="D41" s="273" t="s">
        <v>647</v>
      </c>
      <c r="E41" s="839"/>
      <c r="F41" s="274" t="s">
        <v>11</v>
      </c>
      <c r="G41" s="276">
        <v>211.19200000000001</v>
      </c>
      <c r="H41" s="840"/>
      <c r="I41" s="840"/>
    </row>
    <row r="42" spans="1:13" ht="16.2" customHeight="1">
      <c r="A42" s="1011" t="s">
        <v>525</v>
      </c>
      <c r="B42" s="1012" t="s">
        <v>533</v>
      </c>
      <c r="C42" s="1013"/>
      <c r="D42" s="1013"/>
      <c r="E42" s="839" t="s">
        <v>372</v>
      </c>
      <c r="F42" s="266" t="s">
        <v>4</v>
      </c>
      <c r="G42" s="270">
        <f>G43+G44</f>
        <v>6636.9813199999999</v>
      </c>
      <c r="H42" s="840" t="s">
        <v>84</v>
      </c>
      <c r="I42" s="840"/>
    </row>
    <row r="43" spans="1:13" ht="16.2" customHeight="1">
      <c r="A43" s="1011"/>
      <c r="B43" s="1012"/>
      <c r="C43" s="268" t="s">
        <v>131</v>
      </c>
      <c r="D43" s="273" t="s">
        <v>534</v>
      </c>
      <c r="E43" s="839"/>
      <c r="F43" s="274" t="s">
        <v>10</v>
      </c>
      <c r="G43" s="275"/>
      <c r="H43" s="840"/>
      <c r="I43" s="840"/>
    </row>
    <row r="44" spans="1:13" ht="16.2" customHeight="1">
      <c r="A44" s="1011"/>
      <c r="B44" s="1012"/>
      <c r="C44" s="268" t="s">
        <v>215</v>
      </c>
      <c r="D44" s="273" t="s">
        <v>535</v>
      </c>
      <c r="E44" s="839"/>
      <c r="F44" s="274" t="s">
        <v>11</v>
      </c>
      <c r="G44" s="276">
        <v>6636.9813199999999</v>
      </c>
      <c r="H44" s="840"/>
      <c r="I44" s="840"/>
    </row>
    <row r="45" spans="1:13" ht="16.2" customHeight="1">
      <c r="A45" s="1011" t="s">
        <v>526</v>
      </c>
      <c r="B45" s="1012" t="s">
        <v>536</v>
      </c>
      <c r="C45" s="1013"/>
      <c r="D45" s="1013"/>
      <c r="E45" s="839" t="s">
        <v>372</v>
      </c>
      <c r="F45" s="266" t="s">
        <v>4</v>
      </c>
      <c r="G45" s="270">
        <f>G46+G47</f>
        <v>706.255</v>
      </c>
      <c r="H45" s="840" t="s">
        <v>84</v>
      </c>
      <c r="I45" s="840"/>
    </row>
    <row r="46" spans="1:13" ht="16.2" customHeight="1">
      <c r="A46" s="1011"/>
      <c r="B46" s="1012"/>
      <c r="C46" s="268" t="s">
        <v>131</v>
      </c>
      <c r="D46" s="273" t="s">
        <v>537</v>
      </c>
      <c r="E46" s="839"/>
      <c r="F46" s="274" t="s">
        <v>10</v>
      </c>
      <c r="G46" s="275"/>
      <c r="H46" s="840"/>
      <c r="I46" s="840"/>
    </row>
    <row r="47" spans="1:13" ht="16.2" customHeight="1">
      <c r="A47" s="1011"/>
      <c r="B47" s="1012"/>
      <c r="C47" s="268" t="s">
        <v>215</v>
      </c>
      <c r="D47" s="273" t="s">
        <v>538</v>
      </c>
      <c r="E47" s="839"/>
      <c r="F47" s="274" t="s">
        <v>11</v>
      </c>
      <c r="G47" s="276">
        <v>706.255</v>
      </c>
      <c r="H47" s="840"/>
      <c r="I47" s="840"/>
    </row>
    <row r="48" spans="1:13" ht="16.2" customHeight="1">
      <c r="A48" s="1011" t="s">
        <v>527</v>
      </c>
      <c r="B48" s="1012" t="s">
        <v>539</v>
      </c>
      <c r="C48" s="1013"/>
      <c r="D48" s="1013"/>
      <c r="E48" s="839" t="s">
        <v>372</v>
      </c>
      <c r="F48" s="266" t="s">
        <v>4</v>
      </c>
      <c r="G48" s="270">
        <f>G49+G50</f>
        <v>1083.6469999999999</v>
      </c>
      <c r="H48" s="840" t="s">
        <v>84</v>
      </c>
      <c r="I48" s="840"/>
    </row>
    <row r="49" spans="1:9" ht="16.2" customHeight="1">
      <c r="A49" s="1011"/>
      <c r="B49" s="1012"/>
      <c r="C49" s="268" t="s">
        <v>131</v>
      </c>
      <c r="D49" s="273" t="s">
        <v>540</v>
      </c>
      <c r="E49" s="839"/>
      <c r="F49" s="274" t="s">
        <v>10</v>
      </c>
      <c r="G49" s="275"/>
      <c r="H49" s="840"/>
      <c r="I49" s="840"/>
    </row>
    <row r="50" spans="1:9" ht="16.2" customHeight="1">
      <c r="A50" s="1011"/>
      <c r="B50" s="1012"/>
      <c r="C50" s="268" t="s">
        <v>215</v>
      </c>
      <c r="D50" s="273" t="s">
        <v>648</v>
      </c>
      <c r="E50" s="839"/>
      <c r="F50" s="274" t="s">
        <v>11</v>
      </c>
      <c r="G50" s="276">
        <v>1083.6469999999999</v>
      </c>
      <c r="H50" s="840"/>
      <c r="I50" s="840"/>
    </row>
    <row r="51" spans="1:9" ht="16.2" customHeight="1">
      <c r="A51" s="1011" t="s">
        <v>546</v>
      </c>
      <c r="B51" s="1012" t="s">
        <v>602</v>
      </c>
      <c r="C51" s="1013"/>
      <c r="D51" s="1013"/>
      <c r="E51" s="839" t="s">
        <v>372</v>
      </c>
      <c r="F51" s="266" t="s">
        <v>4</v>
      </c>
      <c r="G51" s="270">
        <f>G52+G53</f>
        <v>267.18099999999998</v>
      </c>
      <c r="H51" s="840" t="s">
        <v>84</v>
      </c>
      <c r="I51" s="840"/>
    </row>
    <row r="52" spans="1:9" ht="16.2" customHeight="1">
      <c r="A52" s="1011"/>
      <c r="B52" s="1012"/>
      <c r="C52" s="268" t="s">
        <v>131</v>
      </c>
      <c r="D52" s="273"/>
      <c r="E52" s="839"/>
      <c r="F52" s="274" t="s">
        <v>10</v>
      </c>
      <c r="G52" s="275"/>
      <c r="H52" s="840"/>
      <c r="I52" s="840"/>
    </row>
    <row r="53" spans="1:9" ht="16.2" customHeight="1">
      <c r="A53" s="1011"/>
      <c r="B53" s="1012"/>
      <c r="C53" s="268" t="s">
        <v>215</v>
      </c>
      <c r="D53" s="273" t="s">
        <v>649</v>
      </c>
      <c r="E53" s="839"/>
      <c r="F53" s="274" t="s">
        <v>11</v>
      </c>
      <c r="G53" s="276">
        <v>267.18099999999998</v>
      </c>
      <c r="H53" s="840"/>
      <c r="I53" s="840"/>
    </row>
    <row r="54" spans="1:9" ht="16.2" hidden="1" customHeight="1">
      <c r="A54" s="1011" t="s">
        <v>559</v>
      </c>
      <c r="B54" s="1012" t="s">
        <v>547</v>
      </c>
      <c r="C54" s="1013"/>
      <c r="D54" s="1013"/>
      <c r="E54" s="839" t="s">
        <v>372</v>
      </c>
      <c r="F54" s="266" t="s">
        <v>4</v>
      </c>
      <c r="G54" s="270">
        <f>G55+G56</f>
        <v>0</v>
      </c>
      <c r="H54" s="840" t="s">
        <v>84</v>
      </c>
      <c r="I54" s="840"/>
    </row>
    <row r="55" spans="1:9" ht="16.2" hidden="1" customHeight="1">
      <c r="A55" s="1011"/>
      <c r="B55" s="1012"/>
      <c r="C55" s="268" t="s">
        <v>131</v>
      </c>
      <c r="D55" s="273"/>
      <c r="E55" s="839"/>
      <c r="F55" s="274" t="s">
        <v>10</v>
      </c>
      <c r="G55" s="275"/>
      <c r="H55" s="840"/>
      <c r="I55" s="840"/>
    </row>
    <row r="56" spans="1:9" ht="16.2" hidden="1" customHeight="1">
      <c r="A56" s="1011"/>
      <c r="B56" s="1012"/>
      <c r="C56" s="268" t="s">
        <v>215</v>
      </c>
      <c r="D56" s="273" t="s">
        <v>548</v>
      </c>
      <c r="E56" s="839"/>
      <c r="F56" s="274" t="s">
        <v>11</v>
      </c>
      <c r="G56" s="276"/>
      <c r="H56" s="840"/>
      <c r="I56" s="840"/>
    </row>
    <row r="57" spans="1:9" ht="16.2" customHeight="1">
      <c r="A57" s="1011" t="s">
        <v>559</v>
      </c>
      <c r="B57" s="1012" t="s">
        <v>603</v>
      </c>
      <c r="C57" s="1013"/>
      <c r="D57" s="1013"/>
      <c r="E57" s="839" t="s">
        <v>372</v>
      </c>
      <c r="F57" s="266" t="s">
        <v>4</v>
      </c>
      <c r="G57" s="270">
        <f>G58+G59</f>
        <v>128.46489</v>
      </c>
      <c r="H57" s="840" t="s">
        <v>84</v>
      </c>
      <c r="I57" s="840"/>
    </row>
    <row r="58" spans="1:9" ht="16.2" customHeight="1">
      <c r="A58" s="1011"/>
      <c r="B58" s="1012"/>
      <c r="C58" s="268" t="s">
        <v>131</v>
      </c>
      <c r="D58" s="273"/>
      <c r="E58" s="839"/>
      <c r="F58" s="274" t="s">
        <v>10</v>
      </c>
      <c r="G58" s="275"/>
      <c r="H58" s="840"/>
      <c r="I58" s="840"/>
    </row>
    <row r="59" spans="1:9" ht="16.2" customHeight="1">
      <c r="A59" s="1011"/>
      <c r="B59" s="1012"/>
      <c r="C59" s="268" t="s">
        <v>215</v>
      </c>
      <c r="D59" s="273"/>
      <c r="E59" s="839"/>
      <c r="F59" s="274" t="s">
        <v>11</v>
      </c>
      <c r="G59" s="276">
        <v>128.46489</v>
      </c>
      <c r="H59" s="840"/>
      <c r="I59" s="840"/>
    </row>
    <row r="60" spans="1:9" ht="16.2" customHeight="1">
      <c r="A60" s="1011" t="s">
        <v>601</v>
      </c>
      <c r="B60" s="1012" t="s">
        <v>604</v>
      </c>
      <c r="C60" s="1013"/>
      <c r="D60" s="1013"/>
      <c r="E60" s="839" t="s">
        <v>372</v>
      </c>
      <c r="F60" s="266" t="s">
        <v>4</v>
      </c>
      <c r="G60" s="270">
        <f>G61+G62</f>
        <v>5018.2139999999999</v>
      </c>
      <c r="H60" s="840" t="s">
        <v>84</v>
      </c>
      <c r="I60" s="840"/>
    </row>
    <row r="61" spans="1:9" ht="16.2" customHeight="1">
      <c r="A61" s="1011"/>
      <c r="B61" s="1012"/>
      <c r="C61" s="268" t="s">
        <v>131</v>
      </c>
      <c r="D61" s="273"/>
      <c r="E61" s="839"/>
      <c r="F61" s="274" t="s">
        <v>10</v>
      </c>
      <c r="G61" s="275">
        <v>4516.3968999999997</v>
      </c>
      <c r="H61" s="840"/>
      <c r="I61" s="840"/>
    </row>
    <row r="62" spans="1:9" ht="16.2" customHeight="1">
      <c r="A62" s="1011"/>
      <c r="B62" s="1012"/>
      <c r="C62" s="268" t="s">
        <v>215</v>
      </c>
      <c r="D62" s="273" t="s">
        <v>650</v>
      </c>
      <c r="E62" s="839"/>
      <c r="F62" s="274" t="s">
        <v>11</v>
      </c>
      <c r="G62" s="276">
        <v>501.81709999999998</v>
      </c>
      <c r="H62" s="840"/>
      <c r="I62" s="840"/>
    </row>
    <row r="63" spans="1:9" ht="18" customHeight="1">
      <c r="A63" s="1029" t="s">
        <v>498</v>
      </c>
      <c r="B63" s="1030" t="s">
        <v>499</v>
      </c>
      <c r="C63" s="1013"/>
      <c r="D63" s="1013"/>
      <c r="E63" s="839" t="s">
        <v>9</v>
      </c>
      <c r="F63" s="266" t="s">
        <v>4</v>
      </c>
      <c r="G63" s="270">
        <f>G64+G65</f>
        <v>14803.987720000001</v>
      </c>
      <c r="H63" s="840"/>
      <c r="I63" s="840"/>
    </row>
    <row r="64" spans="1:9" ht="18" customHeight="1">
      <c r="A64" s="1029"/>
      <c r="B64" s="1030"/>
      <c r="C64" s="268" t="s">
        <v>131</v>
      </c>
      <c r="D64" s="271">
        <f>D67+D70</f>
        <v>423</v>
      </c>
      <c r="E64" s="839"/>
      <c r="F64" s="266" t="s">
        <v>10</v>
      </c>
      <c r="G64" s="272">
        <f>G67+G70+G73+G76</f>
        <v>10168.37795</v>
      </c>
      <c r="H64" s="840"/>
      <c r="I64" s="840"/>
    </row>
    <row r="65" spans="1:11" ht="18" customHeight="1">
      <c r="A65" s="1029"/>
      <c r="B65" s="1030"/>
      <c r="C65" s="268" t="s">
        <v>215</v>
      </c>
      <c r="D65" s="271">
        <f>D68+D71+D74+D77</f>
        <v>4899.3</v>
      </c>
      <c r="E65" s="839"/>
      <c r="F65" s="266" t="s">
        <v>11</v>
      </c>
      <c r="G65" s="272">
        <f>G68+G71+G74+G77</f>
        <v>4635.60977</v>
      </c>
      <c r="H65" s="840"/>
      <c r="I65" s="840"/>
      <c r="K65" s="255"/>
    </row>
    <row r="66" spans="1:11" ht="18" customHeight="1">
      <c r="A66" s="1011" t="s">
        <v>108</v>
      </c>
      <c r="B66" s="1012" t="s">
        <v>492</v>
      </c>
      <c r="C66" s="1013"/>
      <c r="D66" s="1013"/>
      <c r="E66" s="839" t="s">
        <v>372</v>
      </c>
      <c r="F66" s="266" t="s">
        <v>4</v>
      </c>
      <c r="G66" s="270">
        <f>G67+G68</f>
        <v>3527.7287200000001</v>
      </c>
      <c r="H66" s="840" t="s">
        <v>84</v>
      </c>
      <c r="I66" s="840"/>
    </row>
    <row r="67" spans="1:11" ht="18" customHeight="1">
      <c r="A67" s="1011"/>
      <c r="B67" s="1012"/>
      <c r="C67" s="268" t="s">
        <v>131</v>
      </c>
      <c r="D67" s="273" t="s">
        <v>511</v>
      </c>
      <c r="E67" s="839"/>
      <c r="F67" s="274" t="s">
        <v>10</v>
      </c>
      <c r="G67" s="275">
        <v>3174.9558499999998</v>
      </c>
      <c r="H67" s="840"/>
      <c r="I67" s="840"/>
    </row>
    <row r="68" spans="1:11" ht="18" customHeight="1">
      <c r="A68" s="1011"/>
      <c r="B68" s="1012"/>
      <c r="C68" s="268" t="s">
        <v>215</v>
      </c>
      <c r="D68" s="273" t="s">
        <v>651</v>
      </c>
      <c r="E68" s="839"/>
      <c r="F68" s="274" t="s">
        <v>11</v>
      </c>
      <c r="G68" s="276">
        <v>352.77287000000001</v>
      </c>
      <c r="H68" s="840"/>
      <c r="I68" s="840"/>
    </row>
    <row r="69" spans="1:11" ht="18" customHeight="1">
      <c r="A69" s="1011" t="s">
        <v>109</v>
      </c>
      <c r="B69" s="1012" t="s">
        <v>541</v>
      </c>
      <c r="C69" s="1013"/>
      <c r="D69" s="1013"/>
      <c r="E69" s="839" t="s">
        <v>372</v>
      </c>
      <c r="F69" s="266" t="s">
        <v>4</v>
      </c>
      <c r="G69" s="270">
        <f>G70+G71</f>
        <v>3505.79</v>
      </c>
      <c r="H69" s="840" t="s">
        <v>84</v>
      </c>
      <c r="I69" s="840"/>
    </row>
    <row r="70" spans="1:11" ht="18" customHeight="1">
      <c r="A70" s="1011"/>
      <c r="B70" s="1012"/>
      <c r="C70" s="268" t="s">
        <v>131</v>
      </c>
      <c r="D70" s="273" t="s">
        <v>542</v>
      </c>
      <c r="E70" s="839"/>
      <c r="F70" s="274" t="s">
        <v>10</v>
      </c>
      <c r="G70" s="275"/>
      <c r="H70" s="840"/>
      <c r="I70" s="840"/>
    </row>
    <row r="71" spans="1:11" ht="18" customHeight="1">
      <c r="A71" s="1011"/>
      <c r="B71" s="1012"/>
      <c r="C71" s="268" t="s">
        <v>215</v>
      </c>
      <c r="D71" s="273" t="s">
        <v>652</v>
      </c>
      <c r="E71" s="839"/>
      <c r="F71" s="274" t="s">
        <v>11</v>
      </c>
      <c r="G71" s="276">
        <v>3505.79</v>
      </c>
      <c r="H71" s="840"/>
      <c r="I71" s="840"/>
    </row>
    <row r="72" spans="1:11" ht="15" customHeight="1">
      <c r="A72" s="1011" t="s">
        <v>110</v>
      </c>
      <c r="B72" s="1012" t="s">
        <v>606</v>
      </c>
      <c r="C72" s="1013"/>
      <c r="D72" s="1013"/>
      <c r="E72" s="839" t="s">
        <v>372</v>
      </c>
      <c r="F72" s="266" t="s">
        <v>4</v>
      </c>
      <c r="G72" s="270">
        <f>G73+G74</f>
        <v>4386.0810000000001</v>
      </c>
      <c r="H72" s="840" t="s">
        <v>84</v>
      </c>
      <c r="I72" s="840"/>
    </row>
    <row r="73" spans="1:11" ht="15" customHeight="1">
      <c r="A73" s="1011"/>
      <c r="B73" s="1012"/>
      <c r="C73" s="268" t="s">
        <v>131</v>
      </c>
      <c r="D73" s="273" t="s">
        <v>560</v>
      </c>
      <c r="E73" s="839"/>
      <c r="F73" s="274" t="s">
        <v>10</v>
      </c>
      <c r="G73" s="275">
        <v>3947.4729000000002</v>
      </c>
      <c r="H73" s="840"/>
      <c r="I73" s="840"/>
    </row>
    <row r="74" spans="1:11" ht="15" customHeight="1">
      <c r="A74" s="1011"/>
      <c r="B74" s="1012"/>
      <c r="C74" s="268" t="s">
        <v>215</v>
      </c>
      <c r="D74" s="273" t="s">
        <v>653</v>
      </c>
      <c r="E74" s="839"/>
      <c r="F74" s="274" t="s">
        <v>11</v>
      </c>
      <c r="G74" s="276">
        <v>438.60809999999998</v>
      </c>
      <c r="H74" s="840"/>
      <c r="I74" s="840"/>
    </row>
    <row r="75" spans="1:11" ht="15" customHeight="1">
      <c r="A75" s="1011" t="s">
        <v>111</v>
      </c>
      <c r="B75" s="1012" t="s">
        <v>607</v>
      </c>
      <c r="C75" s="1013"/>
      <c r="D75" s="1013"/>
      <c r="E75" s="839" t="s">
        <v>372</v>
      </c>
      <c r="F75" s="266" t="s">
        <v>4</v>
      </c>
      <c r="G75" s="270">
        <f>G76+G77</f>
        <v>3384.3879999999999</v>
      </c>
      <c r="H75" s="840" t="s">
        <v>84</v>
      </c>
      <c r="I75" s="840"/>
    </row>
    <row r="76" spans="1:11" ht="15" customHeight="1">
      <c r="A76" s="1011"/>
      <c r="B76" s="1012"/>
      <c r="C76" s="268" t="s">
        <v>131</v>
      </c>
      <c r="D76" s="273" t="s">
        <v>561</v>
      </c>
      <c r="E76" s="839"/>
      <c r="F76" s="274" t="s">
        <v>10</v>
      </c>
      <c r="G76" s="275">
        <v>3045.9492</v>
      </c>
      <c r="H76" s="840"/>
      <c r="I76" s="840"/>
    </row>
    <row r="77" spans="1:11" ht="15" customHeight="1">
      <c r="A77" s="1011"/>
      <c r="B77" s="1012"/>
      <c r="C77" s="268" t="s">
        <v>215</v>
      </c>
      <c r="D77" s="273" t="s">
        <v>654</v>
      </c>
      <c r="E77" s="839"/>
      <c r="F77" s="274" t="s">
        <v>11</v>
      </c>
      <c r="G77" s="276">
        <v>338.43880000000001</v>
      </c>
      <c r="H77" s="840"/>
      <c r="I77" s="840"/>
    </row>
    <row r="78" spans="1:11" ht="19.95" customHeight="1">
      <c r="A78" s="1055">
        <v>2</v>
      </c>
      <c r="B78" s="1058" t="s">
        <v>375</v>
      </c>
      <c r="C78" s="1061" t="s">
        <v>9</v>
      </c>
      <c r="D78" s="1064" t="s">
        <v>9</v>
      </c>
      <c r="E78" s="1042" t="s">
        <v>9</v>
      </c>
      <c r="F78" s="266" t="s">
        <v>4</v>
      </c>
      <c r="G78" s="270">
        <f>G79+G80</f>
        <v>969.178</v>
      </c>
      <c r="H78" s="1045" t="s">
        <v>9</v>
      </c>
      <c r="I78" s="1046"/>
    </row>
    <row r="79" spans="1:11" ht="19.95" customHeight="1">
      <c r="A79" s="1056"/>
      <c r="B79" s="1059"/>
      <c r="C79" s="1062"/>
      <c r="D79" s="1065"/>
      <c r="E79" s="1043"/>
      <c r="F79" s="266" t="s">
        <v>10</v>
      </c>
      <c r="G79" s="270">
        <f>G82+G85+G88</f>
        <v>91.052999999999997</v>
      </c>
      <c r="H79" s="1047"/>
      <c r="I79" s="1048"/>
    </row>
    <row r="80" spans="1:11" ht="19.95" customHeight="1">
      <c r="A80" s="1057"/>
      <c r="B80" s="1060"/>
      <c r="C80" s="1063"/>
      <c r="D80" s="1066"/>
      <c r="E80" s="1044"/>
      <c r="F80" s="266" t="s">
        <v>11</v>
      </c>
      <c r="G80" s="270">
        <f>G83+G86+G89</f>
        <v>878.125</v>
      </c>
      <c r="H80" s="1049"/>
      <c r="I80" s="1050"/>
    </row>
    <row r="81" spans="1:11" ht="19.95" customHeight="1">
      <c r="A81" s="1011" t="s">
        <v>366</v>
      </c>
      <c r="B81" s="1012" t="s">
        <v>623</v>
      </c>
      <c r="C81" s="1013" t="s">
        <v>43</v>
      </c>
      <c r="D81" s="1013">
        <v>3</v>
      </c>
      <c r="E81" s="839" t="s">
        <v>372</v>
      </c>
      <c r="F81" s="266" t="s">
        <v>4</v>
      </c>
      <c r="G81" s="270">
        <f>G82+G83</f>
        <v>138.17000000000002</v>
      </c>
      <c r="H81" s="840" t="s">
        <v>87</v>
      </c>
      <c r="I81" s="840"/>
      <c r="K81" s="1067"/>
    </row>
    <row r="82" spans="1:11" ht="19.95" customHeight="1">
      <c r="A82" s="1011"/>
      <c r="B82" s="1012"/>
      <c r="C82" s="1013"/>
      <c r="D82" s="1013"/>
      <c r="E82" s="839"/>
      <c r="F82" s="274" t="s">
        <v>10</v>
      </c>
      <c r="G82" s="275"/>
      <c r="H82" s="840"/>
      <c r="I82" s="840"/>
      <c r="K82" s="1067"/>
    </row>
    <row r="83" spans="1:11" ht="19.95" customHeight="1">
      <c r="A83" s="1011"/>
      <c r="B83" s="1012"/>
      <c r="C83" s="1013"/>
      <c r="D83" s="1013"/>
      <c r="E83" s="839"/>
      <c r="F83" s="274" t="s">
        <v>11</v>
      </c>
      <c r="G83" s="276">
        <f>101.17+37</f>
        <v>138.17000000000002</v>
      </c>
      <c r="H83" s="840"/>
      <c r="I83" s="840"/>
      <c r="J83" s="259"/>
      <c r="K83" s="1067"/>
    </row>
    <row r="84" spans="1:11" ht="16.95" customHeight="1">
      <c r="A84" s="1011" t="s">
        <v>544</v>
      </c>
      <c r="B84" s="1012" t="s">
        <v>545</v>
      </c>
      <c r="C84" s="1013" t="s">
        <v>43</v>
      </c>
      <c r="D84" s="1013">
        <v>1</v>
      </c>
      <c r="E84" s="839" t="s">
        <v>372</v>
      </c>
      <c r="F84" s="266" t="s">
        <v>4</v>
      </c>
      <c r="G84" s="270">
        <f>G85+G86</f>
        <v>536.00800000000004</v>
      </c>
      <c r="H84" s="840" t="s">
        <v>84</v>
      </c>
      <c r="I84" s="840"/>
    </row>
    <row r="85" spans="1:11" ht="16.95" customHeight="1">
      <c r="A85" s="1011"/>
      <c r="B85" s="1012"/>
      <c r="C85" s="1013"/>
      <c r="D85" s="1013"/>
      <c r="E85" s="839"/>
      <c r="F85" s="274" t="s">
        <v>10</v>
      </c>
      <c r="G85" s="275">
        <v>91.052999999999997</v>
      </c>
      <c r="H85" s="840"/>
      <c r="I85" s="840"/>
    </row>
    <row r="86" spans="1:11" ht="16.95" customHeight="1">
      <c r="A86" s="1011"/>
      <c r="B86" s="1012"/>
      <c r="C86" s="1013"/>
      <c r="D86" s="1013"/>
      <c r="E86" s="839"/>
      <c r="F86" s="274" t="s">
        <v>11</v>
      </c>
      <c r="G86" s="276">
        <v>444.95499999999998</v>
      </c>
      <c r="H86" s="840"/>
      <c r="I86" s="840"/>
      <c r="J86" s="259"/>
      <c r="K86" s="259"/>
    </row>
    <row r="87" spans="1:11" ht="16.95" customHeight="1">
      <c r="A87" s="1011" t="s">
        <v>549</v>
      </c>
      <c r="B87" s="1012" t="s">
        <v>550</v>
      </c>
      <c r="C87" s="1013" t="s">
        <v>43</v>
      </c>
      <c r="D87" s="1013">
        <v>1</v>
      </c>
      <c r="E87" s="839" t="s">
        <v>372</v>
      </c>
      <c r="F87" s="266" t="s">
        <v>4</v>
      </c>
      <c r="G87" s="270">
        <f>G88+G89</f>
        <v>295</v>
      </c>
      <c r="H87" s="840" t="s">
        <v>87</v>
      </c>
      <c r="I87" s="840"/>
    </row>
    <row r="88" spans="1:11" ht="16.95" customHeight="1">
      <c r="A88" s="1011"/>
      <c r="B88" s="1012"/>
      <c r="C88" s="1013"/>
      <c r="D88" s="1013"/>
      <c r="E88" s="839"/>
      <c r="F88" s="274" t="s">
        <v>10</v>
      </c>
      <c r="G88" s="275"/>
      <c r="H88" s="840"/>
      <c r="I88" s="840"/>
    </row>
    <row r="89" spans="1:11" ht="16.95" customHeight="1">
      <c r="A89" s="1011"/>
      <c r="B89" s="1012"/>
      <c r="C89" s="1013"/>
      <c r="D89" s="1013"/>
      <c r="E89" s="839"/>
      <c r="F89" s="274" t="s">
        <v>11</v>
      </c>
      <c r="G89" s="276">
        <v>295</v>
      </c>
      <c r="H89" s="840"/>
      <c r="I89" s="840"/>
      <c r="J89" s="259"/>
      <c r="K89" s="259"/>
    </row>
    <row r="90" spans="1:11" ht="16.95" customHeight="1">
      <c r="A90" s="1034" t="s">
        <v>88</v>
      </c>
      <c r="B90" s="1030" t="s">
        <v>376</v>
      </c>
      <c r="C90" s="277" t="s">
        <v>73</v>
      </c>
      <c r="D90" s="278">
        <f>D93+D96+D99+D105</f>
        <v>2.028</v>
      </c>
      <c r="E90" s="839" t="s">
        <v>9</v>
      </c>
      <c r="F90" s="266" t="s">
        <v>4</v>
      </c>
      <c r="G90" s="270">
        <f>G91+G92</f>
        <v>4717.3672800000004</v>
      </c>
      <c r="H90" s="840" t="s">
        <v>9</v>
      </c>
      <c r="I90" s="840"/>
      <c r="J90" s="260"/>
      <c r="K90" s="259"/>
    </row>
    <row r="91" spans="1:11" ht="16.95" customHeight="1">
      <c r="A91" s="1034"/>
      <c r="B91" s="1030"/>
      <c r="C91" s="279"/>
      <c r="D91" s="280"/>
      <c r="E91" s="839"/>
      <c r="F91" s="266" t="s">
        <v>10</v>
      </c>
      <c r="G91" s="270">
        <f>G94+G97+G100+G103+G106</f>
        <v>445.142</v>
      </c>
      <c r="H91" s="840"/>
      <c r="I91" s="840"/>
      <c r="J91" s="260"/>
      <c r="K91" s="259"/>
    </row>
    <row r="92" spans="1:11" ht="16.95" customHeight="1">
      <c r="A92" s="1034"/>
      <c r="B92" s="1030"/>
      <c r="C92" s="281" t="s">
        <v>43</v>
      </c>
      <c r="D92" s="282">
        <f>D102</f>
        <v>2</v>
      </c>
      <c r="E92" s="839"/>
      <c r="F92" s="266" t="s">
        <v>11</v>
      </c>
      <c r="G92" s="270">
        <f>G95+G98+G101+G104+G107+G110</f>
        <v>4272.2252800000006</v>
      </c>
      <c r="H92" s="840"/>
      <c r="I92" s="840"/>
      <c r="J92" s="260"/>
      <c r="K92" s="261"/>
    </row>
    <row r="93" spans="1:11" ht="19.95" customHeight="1">
      <c r="A93" s="1011" t="s">
        <v>169</v>
      </c>
      <c r="B93" s="1012" t="s">
        <v>430</v>
      </c>
      <c r="C93" s="1013" t="s">
        <v>73</v>
      </c>
      <c r="D93" s="1054">
        <v>0.158</v>
      </c>
      <c r="E93" s="839" t="s">
        <v>372</v>
      </c>
      <c r="F93" s="266" t="s">
        <v>4</v>
      </c>
      <c r="G93" s="270">
        <v>339.65062</v>
      </c>
      <c r="H93" s="840" t="s">
        <v>84</v>
      </c>
      <c r="I93" s="840"/>
      <c r="J93" s="260"/>
      <c r="K93" s="261"/>
    </row>
    <row r="94" spans="1:11" ht="19.95" customHeight="1">
      <c r="A94" s="1011"/>
      <c r="B94" s="1012"/>
      <c r="C94" s="1013"/>
      <c r="D94" s="1054"/>
      <c r="E94" s="839"/>
      <c r="F94" s="274" t="s">
        <v>10</v>
      </c>
      <c r="G94" s="275">
        <f>G93-G95</f>
        <v>305.68556000000001</v>
      </c>
      <c r="H94" s="840"/>
      <c r="I94" s="840"/>
      <c r="J94" s="262"/>
      <c r="K94" s="261"/>
    </row>
    <row r="95" spans="1:11" ht="19.95" customHeight="1">
      <c r="A95" s="1011"/>
      <c r="B95" s="1012"/>
      <c r="C95" s="1013"/>
      <c r="D95" s="1054"/>
      <c r="E95" s="839"/>
      <c r="F95" s="274" t="s">
        <v>11</v>
      </c>
      <c r="G95" s="276">
        <f>ROUND(G93*0.1,5)</f>
        <v>33.965060000000001</v>
      </c>
      <c r="H95" s="840"/>
      <c r="I95" s="840"/>
      <c r="J95" s="263"/>
      <c r="K95" s="261"/>
    </row>
    <row r="96" spans="1:11" ht="16.2" customHeight="1">
      <c r="A96" s="1011" t="s">
        <v>476</v>
      </c>
      <c r="B96" s="1012" t="s">
        <v>475</v>
      </c>
      <c r="C96" s="1013" t="s">
        <v>73</v>
      </c>
      <c r="D96" s="1051">
        <v>0.65</v>
      </c>
      <c r="E96" s="839" t="s">
        <v>372</v>
      </c>
      <c r="F96" s="266" t="s">
        <v>4</v>
      </c>
      <c r="G96" s="270">
        <f>G97+G98</f>
        <v>2191.2695899999999</v>
      </c>
      <c r="H96" s="840" t="s">
        <v>84</v>
      </c>
      <c r="I96" s="840"/>
      <c r="J96" s="260"/>
      <c r="K96" s="261"/>
    </row>
    <row r="97" spans="1:11" ht="16.2" customHeight="1">
      <c r="A97" s="1011"/>
      <c r="B97" s="1012"/>
      <c r="C97" s="1013"/>
      <c r="D97" s="1051"/>
      <c r="E97" s="839"/>
      <c r="F97" s="274" t="s">
        <v>10</v>
      </c>
      <c r="G97" s="275"/>
      <c r="H97" s="840"/>
      <c r="I97" s="840"/>
      <c r="J97" s="262"/>
      <c r="K97" s="259"/>
    </row>
    <row r="98" spans="1:11" ht="16.2" customHeight="1">
      <c r="A98" s="1011"/>
      <c r="B98" s="1012"/>
      <c r="C98" s="1013"/>
      <c r="D98" s="1051"/>
      <c r="E98" s="839"/>
      <c r="F98" s="274" t="s">
        <v>11</v>
      </c>
      <c r="G98" s="276">
        <v>2191.2695899999999</v>
      </c>
      <c r="H98" s="840"/>
      <c r="I98" s="840"/>
      <c r="J98" s="263"/>
      <c r="K98" s="261"/>
    </row>
    <row r="99" spans="1:11" ht="16.2" customHeight="1">
      <c r="A99" s="1011" t="s">
        <v>477</v>
      </c>
      <c r="B99" s="1012" t="s">
        <v>516</v>
      </c>
      <c r="C99" s="1013" t="s">
        <v>73</v>
      </c>
      <c r="D99" s="1051">
        <v>0.5</v>
      </c>
      <c r="E99" s="839" t="s">
        <v>372</v>
      </c>
      <c r="F99" s="266" t="s">
        <v>4</v>
      </c>
      <c r="G99" s="270">
        <v>1443.83455</v>
      </c>
      <c r="H99" s="840" t="s">
        <v>84</v>
      </c>
      <c r="I99" s="840"/>
      <c r="J99" s="260"/>
      <c r="K99" s="259"/>
    </row>
    <row r="100" spans="1:11" ht="16.2" customHeight="1">
      <c r="A100" s="1011"/>
      <c r="B100" s="1012"/>
      <c r="C100" s="1013"/>
      <c r="D100" s="1051"/>
      <c r="E100" s="839"/>
      <c r="F100" s="274" t="s">
        <v>10</v>
      </c>
      <c r="G100" s="275">
        <v>139.45643999999999</v>
      </c>
      <c r="H100" s="840"/>
      <c r="I100" s="840"/>
      <c r="J100" s="262"/>
      <c r="K100" s="259"/>
    </row>
    <row r="101" spans="1:11" ht="16.2" customHeight="1">
      <c r="A101" s="1011"/>
      <c r="B101" s="1012"/>
      <c r="C101" s="1013"/>
      <c r="D101" s="1051"/>
      <c r="E101" s="839"/>
      <c r="F101" s="274" t="s">
        <v>11</v>
      </c>
      <c r="G101" s="276">
        <f>G99-G100</f>
        <v>1304.3781100000001</v>
      </c>
      <c r="H101" s="840"/>
      <c r="I101" s="840"/>
      <c r="J101" s="263"/>
      <c r="K101" s="259"/>
    </row>
    <row r="102" spans="1:11" ht="16.2" customHeight="1">
      <c r="A102" s="1011" t="s">
        <v>478</v>
      </c>
      <c r="B102" s="1012" t="s">
        <v>551</v>
      </c>
      <c r="C102" s="1013" t="s">
        <v>43</v>
      </c>
      <c r="D102" s="1051">
        <v>2</v>
      </c>
      <c r="E102" s="839" t="s">
        <v>372</v>
      </c>
      <c r="F102" s="266" t="s">
        <v>4</v>
      </c>
      <c r="G102" s="270">
        <f>G103+G104</f>
        <v>18.576000000000001</v>
      </c>
      <c r="H102" s="840" t="s">
        <v>84</v>
      </c>
      <c r="I102" s="840"/>
      <c r="J102" s="260"/>
      <c r="K102" s="259"/>
    </row>
    <row r="103" spans="1:11" ht="16.2" customHeight="1">
      <c r="A103" s="1011"/>
      <c r="B103" s="1012"/>
      <c r="C103" s="1013"/>
      <c r="D103" s="1051"/>
      <c r="E103" s="839"/>
      <c r="F103" s="274" t="s">
        <v>10</v>
      </c>
      <c r="G103" s="275">
        <v>0</v>
      </c>
      <c r="H103" s="840"/>
      <c r="I103" s="840"/>
      <c r="J103" s="262"/>
      <c r="K103" s="259"/>
    </row>
    <row r="104" spans="1:11" ht="16.2" customHeight="1">
      <c r="A104" s="1011"/>
      <c r="B104" s="1012"/>
      <c r="C104" s="1013"/>
      <c r="D104" s="1051"/>
      <c r="E104" s="839"/>
      <c r="F104" s="274" t="s">
        <v>11</v>
      </c>
      <c r="G104" s="276">
        <v>18.576000000000001</v>
      </c>
      <c r="H104" s="840"/>
      <c r="I104" s="840"/>
      <c r="J104" s="263"/>
      <c r="K104" s="259"/>
    </row>
    <row r="105" spans="1:11" ht="16.2" customHeight="1">
      <c r="A105" s="1011" t="s">
        <v>479</v>
      </c>
      <c r="B105" s="1012" t="s">
        <v>605</v>
      </c>
      <c r="C105" s="1013" t="s">
        <v>73</v>
      </c>
      <c r="D105" s="1051">
        <v>0.72</v>
      </c>
      <c r="E105" s="839" t="s">
        <v>372</v>
      </c>
      <c r="F105" s="266" t="s">
        <v>4</v>
      </c>
      <c r="G105" s="270">
        <f>G106+G107</f>
        <v>424.03346000000005</v>
      </c>
      <c r="H105" s="840" t="s">
        <v>84</v>
      </c>
      <c r="I105" s="840"/>
      <c r="J105" s="260"/>
      <c r="K105" s="259"/>
    </row>
    <row r="106" spans="1:11" ht="16.2" customHeight="1">
      <c r="A106" s="1011"/>
      <c r="B106" s="1012"/>
      <c r="C106" s="1013"/>
      <c r="D106" s="1051"/>
      <c r="E106" s="839"/>
      <c r="F106" s="274" t="s">
        <v>10</v>
      </c>
      <c r="G106" s="275">
        <v>0</v>
      </c>
      <c r="H106" s="840"/>
      <c r="I106" s="840"/>
      <c r="J106" s="262"/>
      <c r="K106" s="259"/>
    </row>
    <row r="107" spans="1:11" ht="16.2" customHeight="1">
      <c r="A107" s="1011"/>
      <c r="B107" s="1012"/>
      <c r="C107" s="1013"/>
      <c r="D107" s="1051"/>
      <c r="E107" s="839"/>
      <c r="F107" s="274" t="s">
        <v>11</v>
      </c>
      <c r="G107" s="276">
        <f>424.028+0.00546</f>
        <v>424.03346000000005</v>
      </c>
      <c r="H107" s="840"/>
      <c r="I107" s="840"/>
      <c r="J107" s="263"/>
      <c r="K107" s="259"/>
    </row>
    <row r="108" spans="1:11" ht="16.2" customHeight="1">
      <c r="A108" s="1011" t="s">
        <v>564</v>
      </c>
      <c r="B108" s="1012" t="s">
        <v>640</v>
      </c>
      <c r="C108" s="1013" t="s">
        <v>43</v>
      </c>
      <c r="D108" s="1051">
        <v>20</v>
      </c>
      <c r="E108" s="839" t="s">
        <v>372</v>
      </c>
      <c r="F108" s="266" t="s">
        <v>4</v>
      </c>
      <c r="G108" s="270">
        <f>G109+G110</f>
        <v>300.00306</v>
      </c>
      <c r="H108" s="840" t="s">
        <v>84</v>
      </c>
      <c r="I108" s="840"/>
      <c r="J108" s="260"/>
      <c r="K108" s="259"/>
    </row>
    <row r="109" spans="1:11" ht="16.2" customHeight="1">
      <c r="A109" s="1011"/>
      <c r="B109" s="1012"/>
      <c r="C109" s="1013"/>
      <c r="D109" s="1051"/>
      <c r="E109" s="839"/>
      <c r="F109" s="274" t="s">
        <v>10</v>
      </c>
      <c r="G109" s="275">
        <v>0</v>
      </c>
      <c r="H109" s="840"/>
      <c r="I109" s="840"/>
      <c r="J109" s="262"/>
      <c r="K109" s="259"/>
    </row>
    <row r="110" spans="1:11" ht="16.2" customHeight="1">
      <c r="A110" s="1011"/>
      <c r="B110" s="1012"/>
      <c r="C110" s="1013"/>
      <c r="D110" s="1051"/>
      <c r="E110" s="839"/>
      <c r="F110" s="274" t="s">
        <v>11</v>
      </c>
      <c r="G110" s="276">
        <v>300.00306</v>
      </c>
      <c r="H110" s="840"/>
      <c r="I110" s="840"/>
      <c r="J110" s="263"/>
      <c r="K110" s="259"/>
    </row>
    <row r="111" spans="1:11" ht="18" customHeight="1">
      <c r="A111" s="1034" t="s">
        <v>92</v>
      </c>
      <c r="B111" s="1030" t="s">
        <v>377</v>
      </c>
      <c r="C111" s="1026" t="s">
        <v>9</v>
      </c>
      <c r="D111" s="1071" t="s">
        <v>9</v>
      </c>
      <c r="E111" s="839" t="s">
        <v>9</v>
      </c>
      <c r="F111" s="266" t="s">
        <v>4</v>
      </c>
      <c r="G111" s="270">
        <f>SUM(G112:G113)</f>
        <v>2454.8428000000004</v>
      </c>
      <c r="H111" s="839" t="s">
        <v>9</v>
      </c>
      <c r="I111" s="839"/>
    </row>
    <row r="112" spans="1:11" ht="18" customHeight="1">
      <c r="A112" s="1034"/>
      <c r="B112" s="1030"/>
      <c r="C112" s="1026"/>
      <c r="D112" s="1071"/>
      <c r="E112" s="839"/>
      <c r="F112" s="266" t="s">
        <v>10</v>
      </c>
      <c r="G112" s="270">
        <f>G115+G118+G121+G124+G127+G130+G133+G136</f>
        <v>46.274999999999999</v>
      </c>
      <c r="H112" s="839"/>
      <c r="I112" s="839"/>
    </row>
    <row r="113" spans="1:9" ht="18" customHeight="1">
      <c r="A113" s="1034"/>
      <c r="B113" s="1030"/>
      <c r="C113" s="1026"/>
      <c r="D113" s="1071"/>
      <c r="E113" s="839"/>
      <c r="F113" s="266" t="s">
        <v>11</v>
      </c>
      <c r="G113" s="270">
        <f>G116+G119+G122+G125+G128+G131+G134+G137</f>
        <v>2408.5678000000003</v>
      </c>
      <c r="H113" s="839"/>
      <c r="I113" s="839"/>
    </row>
    <row r="114" spans="1:9" ht="15" customHeight="1">
      <c r="A114" s="1011" t="s">
        <v>414</v>
      </c>
      <c r="B114" s="1012" t="s">
        <v>452</v>
      </c>
      <c r="C114" s="1013" t="s">
        <v>66</v>
      </c>
      <c r="D114" s="1053">
        <v>1</v>
      </c>
      <c r="E114" s="839" t="s">
        <v>372</v>
      </c>
      <c r="F114" s="266" t="s">
        <v>4</v>
      </c>
      <c r="G114" s="267">
        <f>G115+G116</f>
        <v>298.8</v>
      </c>
      <c r="H114" s="840" t="s">
        <v>85</v>
      </c>
      <c r="I114" s="840"/>
    </row>
    <row r="115" spans="1:9" ht="15" customHeight="1">
      <c r="A115" s="1011"/>
      <c r="B115" s="1012"/>
      <c r="C115" s="1013"/>
      <c r="D115" s="1053"/>
      <c r="E115" s="839"/>
      <c r="F115" s="274" t="s">
        <v>10</v>
      </c>
      <c r="G115" s="275">
        <v>0</v>
      </c>
      <c r="H115" s="840"/>
      <c r="I115" s="840"/>
    </row>
    <row r="116" spans="1:9" ht="15" customHeight="1">
      <c r="A116" s="1011"/>
      <c r="B116" s="1012"/>
      <c r="C116" s="1013"/>
      <c r="D116" s="1053"/>
      <c r="E116" s="839"/>
      <c r="F116" s="274" t="s">
        <v>11</v>
      </c>
      <c r="G116" s="276">
        <v>298.8</v>
      </c>
      <c r="H116" s="840"/>
      <c r="I116" s="840"/>
    </row>
    <row r="117" spans="1:9" ht="13.2" customHeight="1">
      <c r="A117" s="1011" t="s">
        <v>480</v>
      </c>
      <c r="B117" s="1022" t="s">
        <v>426</v>
      </c>
      <c r="C117" s="1013" t="s">
        <v>43</v>
      </c>
      <c r="D117" s="1013">
        <v>5</v>
      </c>
      <c r="E117" s="839" t="s">
        <v>372</v>
      </c>
      <c r="F117" s="266" t="s">
        <v>4</v>
      </c>
      <c r="G117" s="270">
        <f>G118+G119</f>
        <v>530.51200000000006</v>
      </c>
      <c r="H117" s="840" t="s">
        <v>84</v>
      </c>
      <c r="I117" s="840"/>
    </row>
    <row r="118" spans="1:9" ht="13.2" customHeight="1">
      <c r="A118" s="1011"/>
      <c r="B118" s="1022"/>
      <c r="C118" s="1013"/>
      <c r="D118" s="1013"/>
      <c r="E118" s="839"/>
      <c r="F118" s="274" t="s">
        <v>10</v>
      </c>
      <c r="G118" s="283">
        <v>46.274999999999999</v>
      </c>
      <c r="H118" s="840"/>
      <c r="I118" s="840"/>
    </row>
    <row r="119" spans="1:9" ht="13.2" customHeight="1">
      <c r="A119" s="1011"/>
      <c r="B119" s="1022"/>
      <c r="C119" s="1013"/>
      <c r="D119" s="1013"/>
      <c r="E119" s="839"/>
      <c r="F119" s="274" t="s">
        <v>11</v>
      </c>
      <c r="G119" s="276">
        <v>484.23700000000002</v>
      </c>
      <c r="H119" s="840"/>
      <c r="I119" s="840"/>
    </row>
    <row r="120" spans="1:9" ht="12" customHeight="1">
      <c r="A120" s="1011" t="s">
        <v>481</v>
      </c>
      <c r="B120" s="1022" t="s">
        <v>427</v>
      </c>
      <c r="C120" s="840" t="s">
        <v>43</v>
      </c>
      <c r="D120" s="840">
        <v>1</v>
      </c>
      <c r="E120" s="839" t="s">
        <v>372</v>
      </c>
      <c r="F120" s="266" t="s">
        <v>4</v>
      </c>
      <c r="G120" s="270">
        <f>G121+G122</f>
        <v>374.26299999999998</v>
      </c>
      <c r="H120" s="840" t="s">
        <v>84</v>
      </c>
      <c r="I120" s="840"/>
    </row>
    <row r="121" spans="1:9" ht="12" customHeight="1">
      <c r="A121" s="1011"/>
      <c r="B121" s="1022"/>
      <c r="C121" s="840"/>
      <c r="D121" s="840"/>
      <c r="E121" s="839"/>
      <c r="F121" s="274" t="s">
        <v>10</v>
      </c>
      <c r="G121" s="283">
        <v>0</v>
      </c>
      <c r="H121" s="840"/>
      <c r="I121" s="840"/>
    </row>
    <row r="122" spans="1:9" ht="12" customHeight="1">
      <c r="A122" s="1011"/>
      <c r="B122" s="1022"/>
      <c r="C122" s="840"/>
      <c r="D122" s="840"/>
      <c r="E122" s="839"/>
      <c r="F122" s="274" t="s">
        <v>11</v>
      </c>
      <c r="G122" s="276">
        <v>374.26299999999998</v>
      </c>
      <c r="H122" s="840"/>
      <c r="I122" s="840"/>
    </row>
    <row r="123" spans="1:9" ht="12" customHeight="1">
      <c r="A123" s="1011" t="s">
        <v>482</v>
      </c>
      <c r="B123" s="1022" t="s">
        <v>425</v>
      </c>
      <c r="C123" s="840" t="s">
        <v>43</v>
      </c>
      <c r="D123" s="840">
        <v>3</v>
      </c>
      <c r="E123" s="839" t="s">
        <v>372</v>
      </c>
      <c r="F123" s="266" t="s">
        <v>4</v>
      </c>
      <c r="G123" s="270">
        <f>G124+G125</f>
        <v>560.91772000000003</v>
      </c>
      <c r="H123" s="840" t="s">
        <v>85</v>
      </c>
      <c r="I123" s="840"/>
    </row>
    <row r="124" spans="1:9" ht="12" customHeight="1">
      <c r="A124" s="1011"/>
      <c r="B124" s="1022"/>
      <c r="C124" s="840"/>
      <c r="D124" s="840"/>
      <c r="E124" s="839"/>
      <c r="F124" s="274" t="s">
        <v>10</v>
      </c>
      <c r="G124" s="283">
        <v>0</v>
      </c>
      <c r="H124" s="840"/>
      <c r="I124" s="840"/>
    </row>
    <row r="125" spans="1:9" ht="12" customHeight="1">
      <c r="A125" s="1011"/>
      <c r="B125" s="1022"/>
      <c r="C125" s="840"/>
      <c r="D125" s="840"/>
      <c r="E125" s="839"/>
      <c r="F125" s="274" t="s">
        <v>11</v>
      </c>
      <c r="G125" s="276">
        <v>560.91772000000003</v>
      </c>
      <c r="H125" s="840"/>
      <c r="I125" s="840"/>
    </row>
    <row r="126" spans="1:9" ht="12" customHeight="1">
      <c r="A126" s="1011" t="s">
        <v>483</v>
      </c>
      <c r="B126" s="1068" t="s">
        <v>543</v>
      </c>
      <c r="C126" s="840" t="s">
        <v>43</v>
      </c>
      <c r="D126" s="840">
        <v>1</v>
      </c>
      <c r="E126" s="839" t="s">
        <v>453</v>
      </c>
      <c r="F126" s="266" t="s">
        <v>4</v>
      </c>
      <c r="G126" s="270">
        <f>G127+G128</f>
        <v>10</v>
      </c>
      <c r="H126" s="840" t="s">
        <v>85</v>
      </c>
      <c r="I126" s="840"/>
    </row>
    <row r="127" spans="1:9" ht="12" customHeight="1">
      <c r="A127" s="1011"/>
      <c r="B127" s="1069"/>
      <c r="C127" s="840"/>
      <c r="D127" s="840"/>
      <c r="E127" s="839"/>
      <c r="F127" s="274" t="s">
        <v>10</v>
      </c>
      <c r="G127" s="283">
        <v>0</v>
      </c>
      <c r="H127" s="840"/>
      <c r="I127" s="840"/>
    </row>
    <row r="128" spans="1:9" ht="12" customHeight="1">
      <c r="A128" s="1011"/>
      <c r="B128" s="1070"/>
      <c r="C128" s="840"/>
      <c r="D128" s="840"/>
      <c r="E128" s="839"/>
      <c r="F128" s="274" t="s">
        <v>11</v>
      </c>
      <c r="G128" s="276">
        <v>10</v>
      </c>
      <c r="H128" s="840"/>
      <c r="I128" s="840"/>
    </row>
    <row r="129" spans="1:9" ht="12" customHeight="1">
      <c r="A129" s="1011" t="s">
        <v>484</v>
      </c>
      <c r="B129" s="1022" t="s">
        <v>581</v>
      </c>
      <c r="C129" s="840" t="s">
        <v>43</v>
      </c>
      <c r="D129" s="840">
        <v>3</v>
      </c>
      <c r="E129" s="839" t="s">
        <v>372</v>
      </c>
      <c r="F129" s="266" t="s">
        <v>4</v>
      </c>
      <c r="G129" s="270">
        <f>G130+G131</f>
        <v>400</v>
      </c>
      <c r="H129" s="840" t="s">
        <v>85</v>
      </c>
      <c r="I129" s="840"/>
    </row>
    <row r="130" spans="1:9" ht="12" customHeight="1">
      <c r="A130" s="1011"/>
      <c r="B130" s="1022"/>
      <c r="C130" s="840"/>
      <c r="D130" s="840"/>
      <c r="E130" s="839"/>
      <c r="F130" s="274" t="s">
        <v>10</v>
      </c>
      <c r="G130" s="283">
        <v>0</v>
      </c>
      <c r="H130" s="840"/>
      <c r="I130" s="840"/>
    </row>
    <row r="131" spans="1:9" ht="12" customHeight="1">
      <c r="A131" s="1011"/>
      <c r="B131" s="1022"/>
      <c r="C131" s="840"/>
      <c r="D131" s="840"/>
      <c r="E131" s="839"/>
      <c r="F131" s="274" t="s">
        <v>11</v>
      </c>
      <c r="G131" s="276">
        <v>400</v>
      </c>
      <c r="H131" s="840"/>
      <c r="I131" s="840"/>
    </row>
    <row r="132" spans="1:9" ht="12" customHeight="1">
      <c r="A132" s="1011" t="s">
        <v>485</v>
      </c>
      <c r="B132" s="1022" t="s">
        <v>486</v>
      </c>
      <c r="C132" s="840" t="s">
        <v>43</v>
      </c>
      <c r="D132" s="840">
        <v>3</v>
      </c>
      <c r="E132" s="839" t="s">
        <v>372</v>
      </c>
      <c r="F132" s="266" t="s">
        <v>4</v>
      </c>
      <c r="G132" s="270">
        <f>G133+G134</f>
        <v>80.350080000000005</v>
      </c>
      <c r="H132" s="840" t="s">
        <v>85</v>
      </c>
      <c r="I132" s="840"/>
    </row>
    <row r="133" spans="1:9" ht="12" customHeight="1">
      <c r="A133" s="1011"/>
      <c r="B133" s="1022"/>
      <c r="C133" s="840"/>
      <c r="D133" s="840"/>
      <c r="E133" s="839"/>
      <c r="F133" s="274" t="s">
        <v>10</v>
      </c>
      <c r="G133" s="283">
        <v>0</v>
      </c>
      <c r="H133" s="840"/>
      <c r="I133" s="840"/>
    </row>
    <row r="134" spans="1:9" ht="12" customHeight="1">
      <c r="A134" s="1011"/>
      <c r="B134" s="1022"/>
      <c r="C134" s="840"/>
      <c r="D134" s="840"/>
      <c r="E134" s="839"/>
      <c r="F134" s="274" t="s">
        <v>11</v>
      </c>
      <c r="G134" s="276">
        <v>80.350080000000005</v>
      </c>
      <c r="H134" s="840"/>
      <c r="I134" s="840"/>
    </row>
    <row r="135" spans="1:9" ht="12" customHeight="1">
      <c r="A135" s="1011" t="s">
        <v>552</v>
      </c>
      <c r="B135" s="1022" t="s">
        <v>553</v>
      </c>
      <c r="C135" s="840" t="s">
        <v>554</v>
      </c>
      <c r="D135" s="840">
        <v>1</v>
      </c>
      <c r="E135" s="839" t="s">
        <v>372</v>
      </c>
      <c r="F135" s="266" t="s">
        <v>4</v>
      </c>
      <c r="G135" s="270">
        <f>G136+G137</f>
        <v>200</v>
      </c>
      <c r="H135" s="840" t="s">
        <v>87</v>
      </c>
      <c r="I135" s="840"/>
    </row>
    <row r="136" spans="1:9" ht="12" customHeight="1">
      <c r="A136" s="1011"/>
      <c r="B136" s="1022"/>
      <c r="C136" s="840"/>
      <c r="D136" s="840"/>
      <c r="E136" s="839"/>
      <c r="F136" s="274" t="s">
        <v>10</v>
      </c>
      <c r="G136" s="283">
        <v>0</v>
      </c>
      <c r="H136" s="840"/>
      <c r="I136" s="840"/>
    </row>
    <row r="137" spans="1:9" ht="12" customHeight="1">
      <c r="A137" s="1011"/>
      <c r="B137" s="1022"/>
      <c r="C137" s="840"/>
      <c r="D137" s="840"/>
      <c r="E137" s="839"/>
      <c r="F137" s="274" t="s">
        <v>11</v>
      </c>
      <c r="G137" s="276">
        <v>200</v>
      </c>
      <c r="H137" s="840"/>
      <c r="I137" s="840"/>
    </row>
    <row r="138" spans="1:9" ht="12" customHeight="1">
      <c r="A138" s="1011" t="s">
        <v>256</v>
      </c>
      <c r="B138" s="1030" t="s">
        <v>412</v>
      </c>
      <c r="C138" s="1013" t="s">
        <v>9</v>
      </c>
      <c r="D138" s="1013" t="s">
        <v>9</v>
      </c>
      <c r="E138" s="839" t="s">
        <v>9</v>
      </c>
      <c r="F138" s="266" t="s">
        <v>4</v>
      </c>
      <c r="G138" s="270">
        <f>G139+G140</f>
        <v>1475</v>
      </c>
      <c r="H138" s="840" t="s">
        <v>609</v>
      </c>
      <c r="I138" s="840"/>
    </row>
    <row r="139" spans="1:9" ht="12" customHeight="1">
      <c r="A139" s="1011"/>
      <c r="B139" s="1030"/>
      <c r="C139" s="1013"/>
      <c r="D139" s="1013"/>
      <c r="E139" s="839"/>
      <c r="F139" s="274" t="s">
        <v>10</v>
      </c>
      <c r="G139" s="275">
        <f>G142+G145</f>
        <v>42.478000000000002</v>
      </c>
      <c r="H139" s="840"/>
      <c r="I139" s="840"/>
    </row>
    <row r="140" spans="1:9" ht="12" customHeight="1">
      <c r="A140" s="1011"/>
      <c r="B140" s="1030"/>
      <c r="C140" s="1013"/>
      <c r="D140" s="1013"/>
      <c r="E140" s="839"/>
      <c r="F140" s="274" t="s">
        <v>11</v>
      </c>
      <c r="G140" s="275">
        <f>G143+G146</f>
        <v>1432.5219999999999</v>
      </c>
      <c r="H140" s="840"/>
      <c r="I140" s="840"/>
    </row>
    <row r="141" spans="1:9" ht="12" customHeight="1">
      <c r="A141" s="1011" t="s">
        <v>415</v>
      </c>
      <c r="B141" s="1012" t="s">
        <v>523</v>
      </c>
      <c r="C141" s="1013" t="s">
        <v>215</v>
      </c>
      <c r="D141" s="1033">
        <v>851</v>
      </c>
      <c r="E141" s="839" t="s">
        <v>372</v>
      </c>
      <c r="F141" s="266" t="s">
        <v>4</v>
      </c>
      <c r="G141" s="270">
        <f>G142+G143</f>
        <v>1275</v>
      </c>
      <c r="H141" s="840" t="s">
        <v>87</v>
      </c>
      <c r="I141" s="840"/>
    </row>
    <row r="142" spans="1:9" ht="12" customHeight="1">
      <c r="A142" s="1011"/>
      <c r="B142" s="1012"/>
      <c r="C142" s="1013"/>
      <c r="D142" s="1033"/>
      <c r="E142" s="839"/>
      <c r="F142" s="274" t="s">
        <v>10</v>
      </c>
      <c r="G142" s="283">
        <v>42.478000000000002</v>
      </c>
      <c r="H142" s="840"/>
      <c r="I142" s="840"/>
    </row>
    <row r="143" spans="1:9" ht="12" customHeight="1">
      <c r="A143" s="1011"/>
      <c r="B143" s="1012"/>
      <c r="C143" s="1013"/>
      <c r="D143" s="1033"/>
      <c r="E143" s="839"/>
      <c r="F143" s="274" t="s">
        <v>11</v>
      </c>
      <c r="G143" s="276">
        <v>1232.5219999999999</v>
      </c>
      <c r="H143" s="840"/>
      <c r="I143" s="840"/>
    </row>
    <row r="144" spans="1:9" ht="13.2" customHeight="1">
      <c r="A144" s="1011" t="s">
        <v>608</v>
      </c>
      <c r="B144" s="1012" t="s">
        <v>614</v>
      </c>
      <c r="C144" s="1013" t="s">
        <v>215</v>
      </c>
      <c r="D144" s="1033">
        <v>851</v>
      </c>
      <c r="E144" s="839" t="s">
        <v>372</v>
      </c>
      <c r="F144" s="266" t="s">
        <v>4</v>
      </c>
      <c r="G144" s="270">
        <f>G145+G146</f>
        <v>200</v>
      </c>
      <c r="H144" s="840" t="s">
        <v>87</v>
      </c>
      <c r="I144" s="840"/>
    </row>
    <row r="145" spans="1:9" ht="13.2" customHeight="1">
      <c r="A145" s="1011"/>
      <c r="B145" s="1012"/>
      <c r="C145" s="1013"/>
      <c r="D145" s="1033"/>
      <c r="E145" s="839"/>
      <c r="F145" s="274" t="s">
        <v>10</v>
      </c>
      <c r="G145" s="283">
        <v>0</v>
      </c>
      <c r="H145" s="840"/>
      <c r="I145" s="840"/>
    </row>
    <row r="146" spans="1:9" ht="13.2" customHeight="1">
      <c r="A146" s="1011"/>
      <c r="B146" s="1012"/>
      <c r="C146" s="1013"/>
      <c r="D146" s="1033"/>
      <c r="E146" s="839"/>
      <c r="F146" s="274" t="s">
        <v>11</v>
      </c>
      <c r="G146" s="276">
        <v>200</v>
      </c>
      <c r="H146" s="840"/>
      <c r="I146" s="840"/>
    </row>
    <row r="147" spans="1:9" ht="16.2" customHeight="1">
      <c r="A147" s="1024" t="s">
        <v>416</v>
      </c>
      <c r="B147" s="1030" t="s">
        <v>558</v>
      </c>
      <c r="C147" s="1013" t="s">
        <v>9</v>
      </c>
      <c r="D147" s="1013" t="s">
        <v>9</v>
      </c>
      <c r="E147" s="839" t="s">
        <v>9</v>
      </c>
      <c r="F147" s="266" t="s">
        <v>4</v>
      </c>
      <c r="G147" s="270">
        <f>G148+G149</f>
        <v>4209.8535299999994</v>
      </c>
      <c r="H147" s="840" t="s">
        <v>9</v>
      </c>
      <c r="I147" s="840"/>
    </row>
    <row r="148" spans="1:9" ht="16.2" customHeight="1">
      <c r="A148" s="1024"/>
      <c r="B148" s="1030"/>
      <c r="C148" s="1013"/>
      <c r="D148" s="1013"/>
      <c r="E148" s="839"/>
      <c r="F148" s="274" t="s">
        <v>10</v>
      </c>
      <c r="G148" s="275">
        <f>G151</f>
        <v>99.293999999999997</v>
      </c>
      <c r="H148" s="840"/>
      <c r="I148" s="840"/>
    </row>
    <row r="149" spans="1:9" ht="16.2" customHeight="1">
      <c r="A149" s="1024"/>
      <c r="B149" s="1030"/>
      <c r="C149" s="1013"/>
      <c r="D149" s="1013"/>
      <c r="E149" s="839"/>
      <c r="F149" s="274" t="s">
        <v>11</v>
      </c>
      <c r="G149" s="276">
        <f>G152</f>
        <v>4110.5595299999995</v>
      </c>
      <c r="H149" s="840"/>
      <c r="I149" s="840"/>
    </row>
    <row r="150" spans="1:9" ht="12" customHeight="1">
      <c r="A150" s="1011" t="s">
        <v>417</v>
      </c>
      <c r="B150" s="1012" t="s">
        <v>431</v>
      </c>
      <c r="C150" s="1013" t="s">
        <v>43</v>
      </c>
      <c r="D150" s="1013">
        <v>1</v>
      </c>
      <c r="E150" s="839" t="s">
        <v>372</v>
      </c>
      <c r="F150" s="266" t="s">
        <v>4</v>
      </c>
      <c r="G150" s="270">
        <f>G151+G152</f>
        <v>4209.8535299999994</v>
      </c>
      <c r="H150" s="840" t="s">
        <v>87</v>
      </c>
      <c r="I150" s="840"/>
    </row>
    <row r="151" spans="1:9" ht="12" customHeight="1">
      <c r="A151" s="1011"/>
      <c r="B151" s="1012"/>
      <c r="C151" s="1013"/>
      <c r="D151" s="1013"/>
      <c r="E151" s="839"/>
      <c r="F151" s="274" t="s">
        <v>10</v>
      </c>
      <c r="G151" s="275">
        <v>99.293999999999997</v>
      </c>
      <c r="H151" s="840"/>
      <c r="I151" s="840"/>
    </row>
    <row r="152" spans="1:9" ht="12" customHeight="1">
      <c r="A152" s="1011"/>
      <c r="B152" s="1012"/>
      <c r="C152" s="1013"/>
      <c r="D152" s="1013"/>
      <c r="E152" s="839"/>
      <c r="F152" s="274" t="s">
        <v>11</v>
      </c>
      <c r="G152" s="276">
        <f>4111.03267-0.47314</f>
        <v>4110.5595299999995</v>
      </c>
      <c r="H152" s="840"/>
      <c r="I152" s="840"/>
    </row>
    <row r="153" spans="1:9" ht="12" customHeight="1">
      <c r="A153" s="1011" t="s">
        <v>418</v>
      </c>
      <c r="B153" s="1030" t="s">
        <v>413</v>
      </c>
      <c r="C153" s="1013" t="s">
        <v>9</v>
      </c>
      <c r="D153" s="1013" t="s">
        <v>9</v>
      </c>
      <c r="E153" s="839" t="s">
        <v>9</v>
      </c>
      <c r="F153" s="266" t="s">
        <v>4</v>
      </c>
      <c r="G153" s="270">
        <f>G154+G155</f>
        <v>1062</v>
      </c>
      <c r="H153" s="840"/>
      <c r="I153" s="840"/>
    </row>
    <row r="154" spans="1:9" ht="12" customHeight="1">
      <c r="A154" s="1011"/>
      <c r="B154" s="1030"/>
      <c r="C154" s="1013"/>
      <c r="D154" s="1013"/>
      <c r="E154" s="839"/>
      <c r="F154" s="274" t="s">
        <v>10</v>
      </c>
      <c r="G154" s="275">
        <f>G157+G160</f>
        <v>29.507000000000001</v>
      </c>
      <c r="H154" s="840"/>
      <c r="I154" s="840"/>
    </row>
    <row r="155" spans="1:9" ht="12" customHeight="1">
      <c r="A155" s="1011"/>
      <c r="B155" s="1030"/>
      <c r="C155" s="1013"/>
      <c r="D155" s="1013"/>
      <c r="E155" s="839"/>
      <c r="F155" s="274" t="s">
        <v>11</v>
      </c>
      <c r="G155" s="275">
        <f>G158+G161</f>
        <v>1032.4929999999999</v>
      </c>
      <c r="H155" s="840"/>
      <c r="I155" s="840"/>
    </row>
    <row r="156" spans="1:9" ht="12" customHeight="1">
      <c r="A156" s="1011" t="s">
        <v>421</v>
      </c>
      <c r="B156" s="1022" t="s">
        <v>513</v>
      </c>
      <c r="C156" s="840" t="s">
        <v>66</v>
      </c>
      <c r="D156" s="840">
        <v>1</v>
      </c>
      <c r="E156" s="839" t="s">
        <v>372</v>
      </c>
      <c r="F156" s="266" t="s">
        <v>4</v>
      </c>
      <c r="G156" s="270">
        <f>G157+G158</f>
        <v>562</v>
      </c>
      <c r="H156" s="840" t="s">
        <v>87</v>
      </c>
      <c r="I156" s="840"/>
    </row>
    <row r="157" spans="1:9" ht="12" customHeight="1">
      <c r="A157" s="1011"/>
      <c r="B157" s="1022"/>
      <c r="C157" s="840"/>
      <c r="D157" s="840"/>
      <c r="E157" s="839"/>
      <c r="F157" s="274" t="s">
        <v>10</v>
      </c>
      <c r="G157" s="283">
        <v>29.507000000000001</v>
      </c>
      <c r="H157" s="840"/>
      <c r="I157" s="840"/>
    </row>
    <row r="158" spans="1:9" ht="12" customHeight="1">
      <c r="A158" s="1011"/>
      <c r="B158" s="1022"/>
      <c r="C158" s="840"/>
      <c r="D158" s="840"/>
      <c r="E158" s="839"/>
      <c r="F158" s="274" t="s">
        <v>11</v>
      </c>
      <c r="G158" s="276">
        <v>532.49300000000005</v>
      </c>
      <c r="H158" s="840"/>
      <c r="I158" s="840"/>
    </row>
    <row r="159" spans="1:9" ht="12" customHeight="1">
      <c r="A159" s="1011" t="s">
        <v>447</v>
      </c>
      <c r="B159" s="1022" t="s">
        <v>448</v>
      </c>
      <c r="C159" s="840" t="s">
        <v>66</v>
      </c>
      <c r="D159" s="840">
        <v>1</v>
      </c>
      <c r="E159" s="839" t="s">
        <v>372</v>
      </c>
      <c r="F159" s="266" t="s">
        <v>4</v>
      </c>
      <c r="G159" s="270">
        <f>G160+G161</f>
        <v>500</v>
      </c>
      <c r="H159" s="840" t="s">
        <v>84</v>
      </c>
      <c r="I159" s="840"/>
    </row>
    <row r="160" spans="1:9" ht="12" customHeight="1">
      <c r="A160" s="1011"/>
      <c r="B160" s="1022"/>
      <c r="C160" s="840"/>
      <c r="D160" s="840"/>
      <c r="E160" s="839"/>
      <c r="F160" s="274" t="s">
        <v>10</v>
      </c>
      <c r="G160" s="283">
        <v>0</v>
      </c>
      <c r="H160" s="840"/>
      <c r="I160" s="840"/>
    </row>
    <row r="161" spans="1:9" ht="12" customHeight="1">
      <c r="A161" s="1011"/>
      <c r="B161" s="1022"/>
      <c r="C161" s="840"/>
      <c r="D161" s="840"/>
      <c r="E161" s="839"/>
      <c r="F161" s="274" t="s">
        <v>11</v>
      </c>
      <c r="G161" s="276">
        <v>500</v>
      </c>
      <c r="H161" s="840"/>
      <c r="I161" s="840"/>
    </row>
    <row r="162" spans="1:9" ht="16.2" customHeight="1">
      <c r="A162" s="1011" t="s">
        <v>555</v>
      </c>
      <c r="B162" s="1030" t="s">
        <v>615</v>
      </c>
      <c r="C162" s="1013" t="s">
        <v>9</v>
      </c>
      <c r="D162" s="1013" t="s">
        <v>9</v>
      </c>
      <c r="E162" s="839" t="s">
        <v>9</v>
      </c>
      <c r="F162" s="266" t="s">
        <v>4</v>
      </c>
      <c r="G162" s="270">
        <f>G163+G164</f>
        <v>200.74199999999999</v>
      </c>
      <c r="H162" s="840"/>
      <c r="I162" s="840"/>
    </row>
    <row r="163" spans="1:9" ht="16.2" customHeight="1">
      <c r="A163" s="1011"/>
      <c r="B163" s="1030"/>
      <c r="C163" s="1013"/>
      <c r="D163" s="1013"/>
      <c r="E163" s="839"/>
      <c r="F163" s="274" t="s">
        <v>10</v>
      </c>
      <c r="G163" s="275">
        <f>G166</f>
        <v>0</v>
      </c>
      <c r="H163" s="840"/>
      <c r="I163" s="840"/>
    </row>
    <row r="164" spans="1:9" ht="16.2" customHeight="1">
      <c r="A164" s="1011"/>
      <c r="B164" s="1030"/>
      <c r="C164" s="1013"/>
      <c r="D164" s="1013"/>
      <c r="E164" s="839"/>
      <c r="F164" s="274" t="s">
        <v>11</v>
      </c>
      <c r="G164" s="275">
        <f>G167</f>
        <v>200.74199999999999</v>
      </c>
      <c r="H164" s="840"/>
      <c r="I164" s="840"/>
    </row>
    <row r="165" spans="1:9" ht="13.2" customHeight="1">
      <c r="A165" s="1011" t="s">
        <v>556</v>
      </c>
      <c r="B165" s="1022" t="s">
        <v>557</v>
      </c>
      <c r="C165" s="1013" t="s">
        <v>215</v>
      </c>
      <c r="D165" s="840">
        <v>150</v>
      </c>
      <c r="E165" s="839" t="s">
        <v>372</v>
      </c>
      <c r="F165" s="266" t="s">
        <v>4</v>
      </c>
      <c r="G165" s="270">
        <f>G166+G167</f>
        <v>200.74199999999999</v>
      </c>
      <c r="H165" s="840" t="s">
        <v>84</v>
      </c>
      <c r="I165" s="840"/>
    </row>
    <row r="166" spans="1:9" ht="13.2" customHeight="1">
      <c r="A166" s="1011"/>
      <c r="B166" s="1022"/>
      <c r="C166" s="1013"/>
      <c r="D166" s="840"/>
      <c r="E166" s="839"/>
      <c r="F166" s="274" t="s">
        <v>10</v>
      </c>
      <c r="G166" s="283">
        <v>0</v>
      </c>
      <c r="H166" s="840"/>
      <c r="I166" s="840"/>
    </row>
    <row r="167" spans="1:9" ht="13.2" customHeight="1">
      <c r="A167" s="1011"/>
      <c r="B167" s="1022"/>
      <c r="C167" s="1013"/>
      <c r="D167" s="840"/>
      <c r="E167" s="839"/>
      <c r="F167" s="274" t="s">
        <v>11</v>
      </c>
      <c r="G167" s="276">
        <v>200.74199999999999</v>
      </c>
      <c r="H167" s="840"/>
      <c r="I167" s="840"/>
    </row>
    <row r="168" spans="1:9" ht="12" customHeight="1">
      <c r="A168" s="1011"/>
      <c r="B168" s="1030" t="s">
        <v>378</v>
      </c>
      <c r="C168" s="1013" t="s">
        <v>9</v>
      </c>
      <c r="D168" s="1051" t="s">
        <v>9</v>
      </c>
      <c r="E168" s="1013"/>
      <c r="F168" s="266" t="s">
        <v>4</v>
      </c>
      <c r="G168" s="270">
        <f>G169+G170</f>
        <v>136540.00733999995</v>
      </c>
      <c r="H168" s="1052"/>
      <c r="I168" s="1052"/>
    </row>
    <row r="169" spans="1:9" ht="12" customHeight="1">
      <c r="A169" s="1011"/>
      <c r="B169" s="1030"/>
      <c r="C169" s="1013"/>
      <c r="D169" s="1051"/>
      <c r="E169" s="1013"/>
      <c r="F169" s="274" t="s">
        <v>10</v>
      </c>
      <c r="G169" s="270">
        <f>G7+G79+G91+G112+G139+G148+G154+G163</f>
        <v>87963.674639999968</v>
      </c>
      <c r="H169" s="1052"/>
      <c r="I169" s="1052"/>
    </row>
    <row r="170" spans="1:9" ht="12" customHeight="1">
      <c r="A170" s="1011"/>
      <c r="B170" s="1030"/>
      <c r="C170" s="1013"/>
      <c r="D170" s="1051"/>
      <c r="E170" s="1013"/>
      <c r="F170" s="274" t="s">
        <v>11</v>
      </c>
      <c r="G170" s="270">
        <f>G8+G80+G92+G113+G140+G149+G155+G164</f>
        <v>48576.332699999992</v>
      </c>
      <c r="H170" s="1052"/>
      <c r="I170" s="1052"/>
    </row>
    <row r="172" spans="1:9">
      <c r="G172" s="255"/>
    </row>
  </sheetData>
  <mergeCells count="315">
    <mergeCell ref="A144:A146"/>
    <mergeCell ref="B144:B146"/>
    <mergeCell ref="C144:C146"/>
    <mergeCell ref="D144:D146"/>
    <mergeCell ref="E144:E146"/>
    <mergeCell ref="H144:I146"/>
    <mergeCell ref="E60:E62"/>
    <mergeCell ref="H60:I62"/>
    <mergeCell ref="K81:K83"/>
    <mergeCell ref="B123:B125"/>
    <mergeCell ref="C123:C125"/>
    <mergeCell ref="D123:D125"/>
    <mergeCell ref="E123:E125"/>
    <mergeCell ref="H123:I125"/>
    <mergeCell ref="A126:A128"/>
    <mergeCell ref="B126:B128"/>
    <mergeCell ref="C126:C128"/>
    <mergeCell ref="D126:D128"/>
    <mergeCell ref="E126:E128"/>
    <mergeCell ref="H126:I128"/>
    <mergeCell ref="A111:A113"/>
    <mergeCell ref="B111:B113"/>
    <mergeCell ref="C111:C113"/>
    <mergeCell ref="D111:D113"/>
    <mergeCell ref="A165:A167"/>
    <mergeCell ref="B165:B167"/>
    <mergeCell ref="C165:C167"/>
    <mergeCell ref="D165:D167"/>
    <mergeCell ref="E165:E167"/>
    <mergeCell ref="H165:I167"/>
    <mergeCell ref="A135:A137"/>
    <mergeCell ref="B135:B137"/>
    <mergeCell ref="C135:C137"/>
    <mergeCell ref="D135:D137"/>
    <mergeCell ref="E135:E137"/>
    <mergeCell ref="H135:I137"/>
    <mergeCell ref="A162:A164"/>
    <mergeCell ref="B162:B164"/>
    <mergeCell ref="C162:C164"/>
    <mergeCell ref="D162:D164"/>
    <mergeCell ref="E162:E164"/>
    <mergeCell ref="H162:I164"/>
    <mergeCell ref="H150:I152"/>
    <mergeCell ref="C147:C149"/>
    <mergeCell ref="D147:D149"/>
    <mergeCell ref="C150:C152"/>
    <mergeCell ref="D150:D152"/>
    <mergeCell ref="A147:A149"/>
    <mergeCell ref="C99:C101"/>
    <mergeCell ref="D99:D101"/>
    <mergeCell ref="E99:E101"/>
    <mergeCell ref="H99:I101"/>
    <mergeCell ref="A36:A38"/>
    <mergeCell ref="B36:B38"/>
    <mergeCell ref="C36:D36"/>
    <mergeCell ref="E36:E38"/>
    <mergeCell ref="H36:I38"/>
    <mergeCell ref="A39:A41"/>
    <mergeCell ref="B39:B41"/>
    <mergeCell ref="C39:D39"/>
    <mergeCell ref="E39:E41"/>
    <mergeCell ref="H39:I41"/>
    <mergeCell ref="A42:A44"/>
    <mergeCell ref="B42:B44"/>
    <mergeCell ref="C42:D42"/>
    <mergeCell ref="E42:E44"/>
    <mergeCell ref="H42:I44"/>
    <mergeCell ref="A45:A47"/>
    <mergeCell ref="B45:B47"/>
    <mergeCell ref="C45:D45"/>
    <mergeCell ref="E45:E47"/>
    <mergeCell ref="H45:I47"/>
    <mergeCell ref="A120:A122"/>
    <mergeCell ref="B120:B122"/>
    <mergeCell ref="C120:C122"/>
    <mergeCell ref="D120:D122"/>
    <mergeCell ref="H33:I35"/>
    <mergeCell ref="A27:A29"/>
    <mergeCell ref="B27:B29"/>
    <mergeCell ref="C27:D27"/>
    <mergeCell ref="E27:E29"/>
    <mergeCell ref="H27:I29"/>
    <mergeCell ref="A30:A32"/>
    <mergeCell ref="B30:B32"/>
    <mergeCell ref="C30:D30"/>
    <mergeCell ref="E30:E32"/>
    <mergeCell ref="H30:I32"/>
    <mergeCell ref="H93:I95"/>
    <mergeCell ref="A96:A98"/>
    <mergeCell ref="B96:B98"/>
    <mergeCell ref="C96:C98"/>
    <mergeCell ref="D96:D98"/>
    <mergeCell ref="E96:E98"/>
    <mergeCell ref="H96:I98"/>
    <mergeCell ref="A99:A101"/>
    <mergeCell ref="B99:B101"/>
    <mergeCell ref="H102:I104"/>
    <mergeCell ref="A105:A107"/>
    <mergeCell ref="B105:B107"/>
    <mergeCell ref="C105:C107"/>
    <mergeCell ref="D105:D107"/>
    <mergeCell ref="E105:E107"/>
    <mergeCell ref="H105:I107"/>
    <mergeCell ref="E111:E113"/>
    <mergeCell ref="H111:I113"/>
    <mergeCell ref="A108:A110"/>
    <mergeCell ref="B108:B110"/>
    <mergeCell ref="C108:C110"/>
    <mergeCell ref="D108:D110"/>
    <mergeCell ref="H18:I20"/>
    <mergeCell ref="A21:A23"/>
    <mergeCell ref="B21:B23"/>
    <mergeCell ref="C21:D21"/>
    <mergeCell ref="E21:E23"/>
    <mergeCell ref="H21:I23"/>
    <mergeCell ref="A24:A26"/>
    <mergeCell ref="B24:B26"/>
    <mergeCell ref="C24:D24"/>
    <mergeCell ref="E24:E26"/>
    <mergeCell ref="H24:I26"/>
    <mergeCell ref="A18:A20"/>
    <mergeCell ref="B18:B20"/>
    <mergeCell ref="C18:D18"/>
    <mergeCell ref="E18:E20"/>
    <mergeCell ref="D132:D134"/>
    <mergeCell ref="E132:E134"/>
    <mergeCell ref="A33:A35"/>
    <mergeCell ref="B33:B35"/>
    <mergeCell ref="C33:D33"/>
    <mergeCell ref="E33:E35"/>
    <mergeCell ref="A93:A95"/>
    <mergeCell ref="B93:B95"/>
    <mergeCell ref="C93:C95"/>
    <mergeCell ref="D93:D95"/>
    <mergeCell ref="E93:E95"/>
    <mergeCell ref="A87:A89"/>
    <mergeCell ref="B87:B89"/>
    <mergeCell ref="C87:C89"/>
    <mergeCell ref="D87:D89"/>
    <mergeCell ref="A102:A104"/>
    <mergeCell ref="B102:B104"/>
    <mergeCell ref="A78:A80"/>
    <mergeCell ref="B78:B80"/>
    <mergeCell ref="C78:C80"/>
    <mergeCell ref="D78:D80"/>
    <mergeCell ref="C102:C104"/>
    <mergeCell ref="D102:D104"/>
    <mergeCell ref="E102:E104"/>
    <mergeCell ref="A168:A170"/>
    <mergeCell ref="B168:B170"/>
    <mergeCell ref="C168:C170"/>
    <mergeCell ref="D168:D170"/>
    <mergeCell ref="E168:E170"/>
    <mergeCell ref="H168:I170"/>
    <mergeCell ref="A114:A116"/>
    <mergeCell ref="B114:B116"/>
    <mergeCell ref="C114:C116"/>
    <mergeCell ref="D114:D116"/>
    <mergeCell ref="E114:E116"/>
    <mergeCell ref="H114:I116"/>
    <mergeCell ref="A117:A119"/>
    <mergeCell ref="B117:B119"/>
    <mergeCell ref="E117:E119"/>
    <mergeCell ref="H117:I119"/>
    <mergeCell ref="C117:C119"/>
    <mergeCell ref="D117:D119"/>
    <mergeCell ref="A150:A152"/>
    <mergeCell ref="B150:B152"/>
    <mergeCell ref="E150:E152"/>
    <mergeCell ref="C156:C158"/>
    <mergeCell ref="E120:E122"/>
    <mergeCell ref="A156:A158"/>
    <mergeCell ref="E78:E80"/>
    <mergeCell ref="H78:I80"/>
    <mergeCell ref="C138:C140"/>
    <mergeCell ref="D138:D140"/>
    <mergeCell ref="C141:C143"/>
    <mergeCell ref="A138:A140"/>
    <mergeCell ref="B138:B140"/>
    <mergeCell ref="E138:E140"/>
    <mergeCell ref="H138:I140"/>
    <mergeCell ref="A141:A143"/>
    <mergeCell ref="B141:B143"/>
    <mergeCell ref="E141:E143"/>
    <mergeCell ref="H141:I143"/>
    <mergeCell ref="D141:D143"/>
    <mergeCell ref="A90:A92"/>
    <mergeCell ref="B90:B92"/>
    <mergeCell ref="E90:E92"/>
    <mergeCell ref="H108:I110"/>
    <mergeCell ref="E87:E89"/>
    <mergeCell ref="H87:I89"/>
    <mergeCell ref="E108:E110"/>
    <mergeCell ref="A132:A134"/>
    <mergeCell ref="B132:B134"/>
    <mergeCell ref="C132:C134"/>
    <mergeCell ref="C12:D12"/>
    <mergeCell ref="E12:E14"/>
    <mergeCell ref="H12:I14"/>
    <mergeCell ref="A15:A17"/>
    <mergeCell ref="B15:B17"/>
    <mergeCell ref="C15:D15"/>
    <mergeCell ref="E15:E17"/>
    <mergeCell ref="H15:I17"/>
    <mergeCell ref="B147:B149"/>
    <mergeCell ref="E147:E149"/>
    <mergeCell ref="H147:I149"/>
    <mergeCell ref="H90:I92"/>
    <mergeCell ref="A81:A83"/>
    <mergeCell ref="B81:B83"/>
    <mergeCell ref="C81:C83"/>
    <mergeCell ref="D81:D83"/>
    <mergeCell ref="E81:E83"/>
    <mergeCell ref="H81:I83"/>
    <mergeCell ref="A84:A86"/>
    <mergeCell ref="B84:B86"/>
    <mergeCell ref="C84:C86"/>
    <mergeCell ref="D84:D86"/>
    <mergeCell ref="E84:E86"/>
    <mergeCell ref="H84:I86"/>
    <mergeCell ref="D156:D158"/>
    <mergeCell ref="F1:I1"/>
    <mergeCell ref="A3:A5"/>
    <mergeCell ref="B3:B5"/>
    <mergeCell ref="C3:C5"/>
    <mergeCell ref="D3:D5"/>
    <mergeCell ref="E3:E5"/>
    <mergeCell ref="F3:F5"/>
    <mergeCell ref="G3:G5"/>
    <mergeCell ref="H3:I5"/>
    <mergeCell ref="A2:I2"/>
    <mergeCell ref="A6:A8"/>
    <mergeCell ref="B6:B8"/>
    <mergeCell ref="C6:D6"/>
    <mergeCell ref="E6:E8"/>
    <mergeCell ref="H6:I8"/>
    <mergeCell ref="A9:A11"/>
    <mergeCell ref="B9:B11"/>
    <mergeCell ref="C9:D9"/>
    <mergeCell ref="E9:E11"/>
    <mergeCell ref="H9:I11"/>
    <mergeCell ref="A12:A14"/>
    <mergeCell ref="B12:B14"/>
    <mergeCell ref="A75:A77"/>
    <mergeCell ref="A159:A161"/>
    <mergeCell ref="B159:B161"/>
    <mergeCell ref="C159:C161"/>
    <mergeCell ref="D159:D161"/>
    <mergeCell ref="E159:E161"/>
    <mergeCell ref="H159:I161"/>
    <mergeCell ref="H120:I122"/>
    <mergeCell ref="A129:A131"/>
    <mergeCell ref="B129:B131"/>
    <mergeCell ref="C129:C131"/>
    <mergeCell ref="D129:D131"/>
    <mergeCell ref="E129:E131"/>
    <mergeCell ref="H129:I131"/>
    <mergeCell ref="C153:C155"/>
    <mergeCell ref="D153:D155"/>
    <mergeCell ref="B156:B158"/>
    <mergeCell ref="E156:E158"/>
    <mergeCell ref="H156:I158"/>
    <mergeCell ref="A153:A155"/>
    <mergeCell ref="B153:B155"/>
    <mergeCell ref="E153:E155"/>
    <mergeCell ref="H153:I155"/>
    <mergeCell ref="H132:I134"/>
    <mergeCell ref="A123:A125"/>
    <mergeCell ref="B75:B77"/>
    <mergeCell ref="C75:D75"/>
    <mergeCell ref="E75:E77"/>
    <mergeCell ref="H75:I77"/>
    <mergeCell ref="A48:A50"/>
    <mergeCell ref="B48:B50"/>
    <mergeCell ref="C48:D48"/>
    <mergeCell ref="E48:E50"/>
    <mergeCell ref="H48:I50"/>
    <mergeCell ref="A51:A53"/>
    <mergeCell ref="B51:B53"/>
    <mergeCell ref="C51:D51"/>
    <mergeCell ref="E51:E53"/>
    <mergeCell ref="H51:I53"/>
    <mergeCell ref="A69:A71"/>
    <mergeCell ref="B69:B71"/>
    <mergeCell ref="C69:D69"/>
    <mergeCell ref="E69:E71"/>
    <mergeCell ref="H69:I71"/>
    <mergeCell ref="A63:A65"/>
    <mergeCell ref="B63:B65"/>
    <mergeCell ref="E63:E65"/>
    <mergeCell ref="C63:D63"/>
    <mergeCell ref="A54:A56"/>
    <mergeCell ref="B54:B56"/>
    <mergeCell ref="C54:D54"/>
    <mergeCell ref="E54:E56"/>
    <mergeCell ref="H54:I56"/>
    <mergeCell ref="H57:I59"/>
    <mergeCell ref="A72:A74"/>
    <mergeCell ref="B72:B74"/>
    <mergeCell ref="C72:D72"/>
    <mergeCell ref="E72:E74"/>
    <mergeCell ref="H72:I74"/>
    <mergeCell ref="H63:I65"/>
    <mergeCell ref="A66:A68"/>
    <mergeCell ref="B66:B68"/>
    <mergeCell ref="C66:D66"/>
    <mergeCell ref="E66:E68"/>
    <mergeCell ref="H66:I68"/>
    <mergeCell ref="A57:A59"/>
    <mergeCell ref="B57:B59"/>
    <mergeCell ref="C57:D57"/>
    <mergeCell ref="E57:E59"/>
    <mergeCell ref="A60:A62"/>
    <mergeCell ref="B60:B62"/>
    <mergeCell ref="C60:D60"/>
  </mergeCells>
  <pageMargins left="0.78740157480314965" right="0.39370078740157483" top="0.19685039370078741" bottom="0.19685039370078741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87"/>
  <sheetViews>
    <sheetView topLeftCell="A352" workbookViewId="0">
      <selection activeCell="K242" sqref="K242"/>
    </sheetView>
  </sheetViews>
  <sheetFormatPr defaultColWidth="8.88671875" defaultRowHeight="14.4"/>
  <cols>
    <col min="1" max="1" width="6.88671875" style="254" customWidth="1"/>
    <col min="2" max="2" width="68.33203125" style="254" customWidth="1"/>
    <col min="3" max="3" width="8.88671875" style="254"/>
    <col min="4" max="4" width="10.88671875" style="254" customWidth="1"/>
    <col min="5" max="5" width="11.88671875" style="254" customWidth="1"/>
    <col min="6" max="6" width="21" style="264" customWidth="1"/>
    <col min="7" max="7" width="16.6640625" style="254" customWidth="1"/>
    <col min="8" max="8" width="9.109375" style="265" bestFit="1" customWidth="1"/>
    <col min="9" max="9" width="10.109375" style="265" customWidth="1"/>
    <col min="10" max="10" width="12.44140625" style="254" hidden="1" customWidth="1"/>
    <col min="11" max="11" width="18.33203125" style="254" customWidth="1"/>
    <col min="12" max="12" width="14.33203125" style="602" customWidth="1"/>
    <col min="13" max="13" width="11.5546875" style="254" customWidth="1"/>
    <col min="14" max="14" width="13.44140625" style="716" customWidth="1"/>
    <col min="15" max="15" width="12.88671875" style="700" customWidth="1"/>
    <col min="16" max="16" width="11.5546875" style="254" customWidth="1"/>
    <col min="17" max="17" width="11.33203125" style="254" customWidth="1"/>
    <col min="18" max="18" width="14.5546875" style="254" bestFit="1" customWidth="1"/>
    <col min="19" max="19" width="14.6640625" style="254" customWidth="1"/>
    <col min="20" max="16384" width="8.88671875" style="254"/>
  </cols>
  <sheetData>
    <row r="1" spans="1:19" ht="42.6" customHeight="1">
      <c r="F1" s="1037" t="s">
        <v>567</v>
      </c>
      <c r="G1" s="1037"/>
      <c r="H1" s="1037"/>
      <c r="I1" s="1037"/>
      <c r="K1" s="654"/>
      <c r="L1" s="655">
        <f>86725.55556-G6</f>
        <v>-101853.45755000004</v>
      </c>
      <c r="M1" s="654"/>
      <c r="N1" s="656"/>
      <c r="O1" s="657"/>
      <c r="P1" s="654"/>
      <c r="Q1" s="654"/>
      <c r="R1" s="654"/>
      <c r="S1" s="654"/>
    </row>
    <row r="2" spans="1:19" ht="13.95" customHeight="1">
      <c r="A2" s="957" t="s">
        <v>571</v>
      </c>
      <c r="B2" s="957"/>
      <c r="C2" s="957"/>
      <c r="D2" s="957"/>
      <c r="E2" s="957"/>
      <c r="F2" s="957"/>
      <c r="G2" s="957"/>
      <c r="H2" s="957"/>
      <c r="I2" s="957"/>
      <c r="K2" s="658" t="s">
        <v>697</v>
      </c>
      <c r="L2" s="659" t="s">
        <v>694</v>
      </c>
      <c r="M2" s="659" t="s">
        <v>695</v>
      </c>
      <c r="N2" s="660"/>
      <c r="O2" s="661"/>
      <c r="P2" s="654"/>
      <c r="Q2" s="654"/>
      <c r="R2" s="654"/>
      <c r="S2" s="654"/>
    </row>
    <row r="3" spans="1:19" ht="15" customHeight="1">
      <c r="A3" s="1038" t="s">
        <v>0</v>
      </c>
      <c r="B3" s="1039" t="s">
        <v>6</v>
      </c>
      <c r="C3" s="1039" t="s">
        <v>7</v>
      </c>
      <c r="D3" s="1040" t="s">
        <v>79</v>
      </c>
      <c r="E3" s="1039" t="s">
        <v>369</v>
      </c>
      <c r="F3" s="1039" t="s">
        <v>76</v>
      </c>
      <c r="G3" s="1041" t="s">
        <v>77</v>
      </c>
      <c r="H3" s="1041" t="s">
        <v>370</v>
      </c>
      <c r="I3" s="1041"/>
      <c r="K3" s="654"/>
      <c r="L3" s="659" t="s">
        <v>839</v>
      </c>
      <c r="M3" s="654"/>
      <c r="N3" s="656"/>
      <c r="O3" s="657"/>
      <c r="P3" s="654"/>
      <c r="Q3" s="654"/>
      <c r="R3" s="654"/>
      <c r="S3" s="654"/>
    </row>
    <row r="4" spans="1:19">
      <c r="A4" s="1038"/>
      <c r="B4" s="1039"/>
      <c r="C4" s="1039"/>
      <c r="D4" s="1040"/>
      <c r="E4" s="1039"/>
      <c r="F4" s="1039"/>
      <c r="G4" s="1041"/>
      <c r="H4" s="1041"/>
      <c r="I4" s="1041"/>
      <c r="K4" s="662">
        <f>161500-G7</f>
        <v>0</v>
      </c>
      <c r="L4" s="576"/>
      <c r="M4" s="654"/>
      <c r="N4" s="656"/>
      <c r="O4" s="657"/>
      <c r="P4" s="654"/>
      <c r="Q4" s="654"/>
      <c r="R4" s="654"/>
      <c r="S4" s="654"/>
    </row>
    <row r="5" spans="1:19" ht="12.6" customHeight="1">
      <c r="A5" s="1038"/>
      <c r="B5" s="1039"/>
      <c r="C5" s="1039"/>
      <c r="D5" s="1040"/>
      <c r="E5" s="1039"/>
      <c r="F5" s="1039"/>
      <c r="G5" s="1041"/>
      <c r="H5" s="1041"/>
      <c r="I5" s="1041"/>
      <c r="K5" s="662">
        <f>18544.46756-G9</f>
        <v>-1534.5455499999989</v>
      </c>
      <c r="L5" s="576"/>
      <c r="M5" s="654"/>
      <c r="N5" s="656"/>
      <c r="O5" s="657"/>
      <c r="P5" s="654"/>
      <c r="Q5" s="654"/>
      <c r="R5" s="654"/>
      <c r="S5" s="654"/>
    </row>
    <row r="6" spans="1:19" ht="15" customHeight="1">
      <c r="A6" s="1024" t="s">
        <v>3</v>
      </c>
      <c r="B6" s="1179" t="s">
        <v>371</v>
      </c>
      <c r="C6" s="1013" t="s">
        <v>131</v>
      </c>
      <c r="D6" s="1180">
        <f>D10+D150</f>
        <v>14224</v>
      </c>
      <c r="E6" s="839" t="s">
        <v>517</v>
      </c>
      <c r="F6" s="266" t="s">
        <v>4</v>
      </c>
      <c r="G6" s="267">
        <f>G7+G8+G9</f>
        <v>188579.01311000003</v>
      </c>
      <c r="H6" s="839" t="s">
        <v>9</v>
      </c>
      <c r="I6" s="839"/>
      <c r="K6" s="663">
        <f>K8+K9</f>
        <v>50155.555560000001</v>
      </c>
      <c r="L6" s="664">
        <f>L10+L150</f>
        <v>179386.62092999998</v>
      </c>
      <c r="M6" s="665">
        <f>G6-L6</f>
        <v>9192.3921800000535</v>
      </c>
      <c r="N6" s="666"/>
      <c r="O6" s="663"/>
      <c r="P6" s="654"/>
      <c r="Q6" s="654"/>
      <c r="R6" s="654"/>
      <c r="S6" s="654"/>
    </row>
    <row r="7" spans="1:19" ht="15" customHeight="1">
      <c r="A7" s="1024"/>
      <c r="B7" s="1179"/>
      <c r="C7" s="1013"/>
      <c r="D7" s="1180"/>
      <c r="E7" s="839"/>
      <c r="F7" s="266" t="s">
        <v>24</v>
      </c>
      <c r="G7" s="267">
        <f>G11+G151</f>
        <v>161500.00000000003</v>
      </c>
      <c r="H7" s="839"/>
      <c r="I7" s="839"/>
      <c r="K7" s="663"/>
      <c r="L7" s="664">
        <f>L11+L151</f>
        <v>161038.44112000003</v>
      </c>
      <c r="M7" s="665">
        <f>G7-L7</f>
        <v>461.55887999999686</v>
      </c>
      <c r="N7" s="666"/>
      <c r="O7" s="663"/>
      <c r="P7" s="654"/>
      <c r="Q7" s="654"/>
      <c r="R7" s="654"/>
      <c r="S7" s="654"/>
    </row>
    <row r="8" spans="1:19" ht="15" customHeight="1">
      <c r="A8" s="1024"/>
      <c r="B8" s="1179"/>
      <c r="C8" s="1013" t="s">
        <v>215</v>
      </c>
      <c r="D8" s="1180">
        <f>D12+D152</f>
        <v>130536.42</v>
      </c>
      <c r="E8" s="839"/>
      <c r="F8" s="266" t="s">
        <v>10</v>
      </c>
      <c r="G8" s="267">
        <f>G12+G152</f>
        <v>7000</v>
      </c>
      <c r="H8" s="839"/>
      <c r="I8" s="839"/>
      <c r="J8" s="255">
        <f>G8-G16-G20</f>
        <v>7000</v>
      </c>
      <c r="K8" s="663">
        <v>44600</v>
      </c>
      <c r="L8" s="664">
        <f>L12+L152</f>
        <v>0</v>
      </c>
      <c r="M8" s="665">
        <f>G8-L8</f>
        <v>7000</v>
      </c>
      <c r="N8" s="666"/>
      <c r="O8" s="663"/>
      <c r="P8" s="654"/>
      <c r="Q8" s="654"/>
      <c r="R8" s="548">
        <v>161500</v>
      </c>
      <c r="S8" s="662">
        <f>R8-G7</f>
        <v>0</v>
      </c>
    </row>
    <row r="9" spans="1:19" ht="15" customHeight="1">
      <c r="A9" s="1024"/>
      <c r="B9" s="1179"/>
      <c r="C9" s="1013"/>
      <c r="D9" s="1180"/>
      <c r="E9" s="839"/>
      <c r="F9" s="266" t="s">
        <v>11</v>
      </c>
      <c r="G9" s="267">
        <f>G13+G153</f>
        <v>20079.01311</v>
      </c>
      <c r="H9" s="839"/>
      <c r="I9" s="839"/>
      <c r="J9" s="255">
        <f>G9-G17-G21</f>
        <v>18683.405709999999</v>
      </c>
      <c r="K9" s="663">
        <v>5555.5555599999998</v>
      </c>
      <c r="L9" s="664">
        <f>L13+L153</f>
        <v>18348.179809999998</v>
      </c>
      <c r="M9" s="667">
        <f>G9-L9</f>
        <v>1730.8333000000021</v>
      </c>
      <c r="N9" s="666"/>
      <c r="O9" s="663"/>
      <c r="P9" s="654"/>
      <c r="Q9" s="654"/>
      <c r="R9" s="548">
        <f>R8-G7</f>
        <v>0</v>
      </c>
      <c r="S9" s="662"/>
    </row>
    <row r="10" spans="1:19" ht="15" customHeight="1">
      <c r="A10" s="1029" t="s">
        <v>82</v>
      </c>
      <c r="B10" s="1030" t="s">
        <v>83</v>
      </c>
      <c r="C10" s="1013" t="s">
        <v>131</v>
      </c>
      <c r="D10" s="1178">
        <f>D14+D18+D22+D26+D30+D34+D38+D42+D46+D50+D54+D58+D62+D66+D70+D74+D78+D82+D86+D90+D94+D98+D102+D106+D110+D114</f>
        <v>11949</v>
      </c>
      <c r="E10" s="839" t="s">
        <v>9</v>
      </c>
      <c r="F10" s="266" t="s">
        <v>4</v>
      </c>
      <c r="G10" s="270">
        <f>G11+G12+G13</f>
        <v>133203.37311000002</v>
      </c>
      <c r="H10" s="840" t="s">
        <v>84</v>
      </c>
      <c r="I10" s="840"/>
      <c r="K10" s="668">
        <f>K14+K18+K22+K26+K30+K34+K38+K42+K46+K50+K54+K58+K62+K66+K70+K74+K78+K82+K86+K90+K94+K98+K102+K106</f>
        <v>124617.17103999997</v>
      </c>
      <c r="L10" s="668">
        <f>L14+L18+L22+L26+L30+L34+L38+L42+L46+L50+L54+L58+L62+L66+L70+L74+L78+L82+L86+L90+L94+L98+L102+L106</f>
        <v>124010.98092999999</v>
      </c>
      <c r="M10" s="668">
        <f>M14+M18+M22+M26+M30+M34+M38+M42+M46+M50+M54+M58+M62+M66+M70+M74+M78+M82+M86+M90+M94+M98+M102+M106</f>
        <v>9608.2995100000007</v>
      </c>
      <c r="N10" s="669"/>
      <c r="O10" s="657"/>
      <c r="P10" s="654"/>
      <c r="Q10" s="654"/>
      <c r="R10" s="654"/>
      <c r="S10" s="654"/>
    </row>
    <row r="11" spans="1:19" ht="15" customHeight="1">
      <c r="A11" s="1029"/>
      <c r="B11" s="1030"/>
      <c r="C11" s="1013"/>
      <c r="D11" s="1178"/>
      <c r="E11" s="839"/>
      <c r="F11" s="266" t="s">
        <v>24</v>
      </c>
      <c r="G11" s="272">
        <f>G15+G19+G23+G27+G31+G35+G39+G43+G47+G51+G55+G59+G63+G67+G71+G75+G79+G83+G87+G91+G95+G99+G103+G107+G111+G115+G119+G123+G127+G131+G135+G139+G143</f>
        <v>111639.41359000003</v>
      </c>
      <c r="H11" s="840"/>
      <c r="I11" s="840"/>
      <c r="K11" s="668">
        <f t="shared" ref="K11:M13" si="0">K15+K19+K23+K27+K31+K35+K39+K43+K47+K51+K55+K59+K63+K67+K71+K75+K79+K83+K87+K91+K95+K99+K103+K107</f>
        <v>111882.31131999999</v>
      </c>
      <c r="L11" s="668">
        <f t="shared" si="0"/>
        <v>111177.85469000004</v>
      </c>
      <c r="M11" s="668">
        <f>M15+M19+M23+M27+M31+M35+M39+M43+M47+M51+M55+M59+M63+M67+M71+M75+M79+M83+M87+M91+M95+M99+M103+M107</f>
        <v>8541.0625099999979</v>
      </c>
      <c r="N11" s="669"/>
      <c r="O11" s="657"/>
      <c r="P11" s="654"/>
      <c r="Q11" s="654"/>
      <c r="R11" s="654"/>
      <c r="S11" s="654"/>
    </row>
    <row r="12" spans="1:19" ht="15" customHeight="1">
      <c r="A12" s="1029"/>
      <c r="B12" s="1030"/>
      <c r="C12" s="1013" t="s">
        <v>215</v>
      </c>
      <c r="D12" s="1178">
        <f>D16+D20+D24+D28+D32+D36+D40+D44+D48+D52+D56+D60+D64+D68+D72+D76+D80+D84+D88+D92+D96+D100+D104+D108+D112+D116+D120+D124+D128+D132+D136+D140+D144</f>
        <v>110865.22</v>
      </c>
      <c r="E12" s="839"/>
      <c r="F12" s="266" t="s">
        <v>10</v>
      </c>
      <c r="G12" s="272">
        <f t="shared" ref="G12" si="1">G16+G20+G24+G28+G32+G36+G40+G44+G48+G52+G56+G60+G64+G68+G72+G76+G80+G84+G88+G92+G96+G100+G104+G108+G112+G116+G120+G124+G128+G132+G136+G140+G144</f>
        <v>7000</v>
      </c>
      <c r="H12" s="840"/>
      <c r="I12" s="840"/>
      <c r="K12" s="668">
        <f t="shared" si="0"/>
        <v>0</v>
      </c>
      <c r="L12" s="668">
        <f t="shared" si="0"/>
        <v>0</v>
      </c>
      <c r="M12" s="668">
        <f t="shared" si="0"/>
        <v>0</v>
      </c>
      <c r="N12" s="669"/>
      <c r="O12" s="657" t="s">
        <v>845</v>
      </c>
      <c r="P12" s="670" t="s">
        <v>846</v>
      </c>
      <c r="Q12" s="654"/>
      <c r="R12" s="662">
        <f>G7-R8</f>
        <v>0</v>
      </c>
      <c r="S12" s="654"/>
    </row>
    <row r="13" spans="1:19" ht="15" customHeight="1">
      <c r="A13" s="1029"/>
      <c r="B13" s="1030"/>
      <c r="C13" s="1013"/>
      <c r="D13" s="1178"/>
      <c r="E13" s="839"/>
      <c r="F13" s="266" t="s">
        <v>11</v>
      </c>
      <c r="G13" s="272">
        <f>G17+G21+G25+G29+G33+G37+G41+G45+G49+G53+G57+G61+G65+G69+G73+G77+G81+G85+G89+G93+G97+G101+G105+G109+G113+G117+G121+G125+G129+G133+G137+G141+G145+G149</f>
        <v>14563.959519999995</v>
      </c>
      <c r="H13" s="840"/>
      <c r="I13" s="840"/>
      <c r="K13" s="668">
        <f t="shared" si="0"/>
        <v>12734.859719999997</v>
      </c>
      <c r="L13" s="668">
        <f>L17+L21+L25+L29+L33+L37+L41+L45+L49+L53+L57+L61+L65+L69+L73+L77+L81+L85+L89+L93+L97+L101+L105+L109</f>
        <v>12833.126239999994</v>
      </c>
      <c r="M13" s="668">
        <f t="shared" si="0"/>
        <v>997.39700000000164</v>
      </c>
      <c r="N13" s="669"/>
      <c r="O13" s="657">
        <v>12720.02413</v>
      </c>
      <c r="P13" s="669">
        <f>P21-N45</f>
        <v>62.2299029342837</v>
      </c>
      <c r="Q13" s="654"/>
      <c r="R13" s="662">
        <f>G9-R9</f>
        <v>20079.01311</v>
      </c>
      <c r="S13" s="654"/>
    </row>
    <row r="14" spans="1:19" ht="13.2" customHeight="1">
      <c r="A14" s="1011" t="s">
        <v>35</v>
      </c>
      <c r="B14" s="1022" t="s">
        <v>420</v>
      </c>
      <c r="C14" s="1013" t="s">
        <v>131</v>
      </c>
      <c r="D14" s="1169" t="s">
        <v>691</v>
      </c>
      <c r="E14" s="839" t="s">
        <v>562</v>
      </c>
      <c r="F14" s="266" t="s">
        <v>4</v>
      </c>
      <c r="G14" s="270">
        <v>7769.0354699999998</v>
      </c>
      <c r="H14" s="840" t="s">
        <v>84</v>
      </c>
      <c r="I14" s="840"/>
      <c r="K14" s="668">
        <v>7769.0354699999998</v>
      </c>
      <c r="L14" s="668">
        <v>7769.0354699999998</v>
      </c>
      <c r="M14" s="668">
        <f>K14-L14</f>
        <v>0</v>
      </c>
      <c r="N14" s="669"/>
      <c r="O14" s="657"/>
      <c r="P14" s="654"/>
      <c r="Q14" s="654"/>
      <c r="R14" s="654"/>
      <c r="S14" s="654"/>
    </row>
    <row r="15" spans="1:19" ht="13.2" customHeight="1">
      <c r="A15" s="1011"/>
      <c r="B15" s="1022"/>
      <c r="C15" s="1013"/>
      <c r="D15" s="1169"/>
      <c r="E15" s="839"/>
      <c r="F15" s="274" t="s">
        <v>24</v>
      </c>
      <c r="G15" s="276">
        <f>ROUND(G14*90.0406504065%,5)</f>
        <v>6995.29007</v>
      </c>
      <c r="H15" s="840"/>
      <c r="I15" s="840"/>
      <c r="K15" s="671">
        <f>ROUND(K14*90.0406504065%,5)</f>
        <v>6995.29007</v>
      </c>
      <c r="L15" s="671">
        <f>ROUND(L14*90.0406504065%,5)</f>
        <v>6995.29007</v>
      </c>
      <c r="M15" s="668">
        <f t="shared" ref="M15:M33" si="2">K15-L15</f>
        <v>0</v>
      </c>
      <c r="N15" s="656"/>
      <c r="O15" s="657"/>
      <c r="P15" s="654"/>
      <c r="Q15" s="654"/>
      <c r="R15" s="654"/>
      <c r="S15" s="654"/>
    </row>
    <row r="16" spans="1:19" ht="13.2" customHeight="1">
      <c r="A16" s="1011"/>
      <c r="B16" s="1022"/>
      <c r="C16" s="1013" t="s">
        <v>215</v>
      </c>
      <c r="D16" s="1169" t="s">
        <v>778</v>
      </c>
      <c r="E16" s="839"/>
      <c r="F16" s="274" t="s">
        <v>10</v>
      </c>
      <c r="G16" s="275"/>
      <c r="H16" s="840"/>
      <c r="I16" s="840"/>
      <c r="K16" s="672"/>
      <c r="L16" s="672"/>
      <c r="M16" s="668">
        <f t="shared" si="2"/>
        <v>0</v>
      </c>
      <c r="N16" s="656"/>
      <c r="O16" s="657"/>
      <c r="P16" s="662"/>
      <c r="Q16" s="654"/>
      <c r="R16" s="654"/>
      <c r="S16" s="654"/>
    </row>
    <row r="17" spans="1:19" ht="13.2" customHeight="1">
      <c r="A17" s="1011"/>
      <c r="B17" s="1022"/>
      <c r="C17" s="1013"/>
      <c r="D17" s="1169"/>
      <c r="E17" s="839"/>
      <c r="F17" s="274" t="s">
        <v>11</v>
      </c>
      <c r="G17" s="276">
        <f>G14-G15</f>
        <v>773.74539999999979</v>
      </c>
      <c r="H17" s="840"/>
      <c r="I17" s="840"/>
      <c r="K17" s="671">
        <f>K14-K15</f>
        <v>773.74539999999979</v>
      </c>
      <c r="L17" s="671">
        <f>L14-L15</f>
        <v>773.74539999999979</v>
      </c>
      <c r="M17" s="668">
        <f t="shared" si="2"/>
        <v>0</v>
      </c>
      <c r="N17" s="656"/>
      <c r="O17" s="657"/>
      <c r="P17" s="654"/>
      <c r="Q17" s="654"/>
      <c r="R17" s="654"/>
      <c r="S17" s="654"/>
    </row>
    <row r="18" spans="1:19" ht="13.2" customHeight="1">
      <c r="A18" s="1011" t="s">
        <v>40</v>
      </c>
      <c r="B18" s="1022" t="s">
        <v>583</v>
      </c>
      <c r="C18" s="1013" t="s">
        <v>131</v>
      </c>
      <c r="D18" s="1169" t="s">
        <v>584</v>
      </c>
      <c r="E18" s="839" t="s">
        <v>562</v>
      </c>
      <c r="F18" s="266" t="s">
        <v>4</v>
      </c>
      <c r="G18" s="270">
        <v>5681.393</v>
      </c>
      <c r="H18" s="840" t="s">
        <v>84</v>
      </c>
      <c r="I18" s="840"/>
      <c r="K18" s="668">
        <v>5619.1630999999998</v>
      </c>
      <c r="L18" s="668">
        <v>5681.393</v>
      </c>
      <c r="M18" s="668">
        <f t="shared" si="2"/>
        <v>-62.229900000000271</v>
      </c>
      <c r="N18" s="673">
        <v>5681.393</v>
      </c>
      <c r="O18" s="674">
        <v>5681.393</v>
      </c>
      <c r="P18" s="674"/>
      <c r="Q18" s="654"/>
      <c r="R18" s="654"/>
      <c r="S18" s="654"/>
    </row>
    <row r="19" spans="1:19" ht="13.2" customHeight="1">
      <c r="A19" s="1011"/>
      <c r="B19" s="1022"/>
      <c r="C19" s="1013"/>
      <c r="D19" s="1169"/>
      <c r="E19" s="839"/>
      <c r="F19" s="274" t="s">
        <v>24</v>
      </c>
      <c r="G19" s="276">
        <v>5059.5309999999999</v>
      </c>
      <c r="H19" s="840"/>
      <c r="I19" s="840"/>
      <c r="K19" s="671">
        <f>ROUND(K18*90.0406504065%,5)</f>
        <v>5059.5309999999999</v>
      </c>
      <c r="L19" s="671">
        <v>5059.5309999999999</v>
      </c>
      <c r="M19" s="668">
        <f t="shared" si="2"/>
        <v>0</v>
      </c>
      <c r="N19" s="675">
        <v>5059.5309999999999</v>
      </c>
      <c r="O19" s="676">
        <f>I19</f>
        <v>0</v>
      </c>
      <c r="P19" s="677"/>
      <c r="Q19" s="654"/>
      <c r="R19" s="654"/>
      <c r="S19" s="654"/>
    </row>
    <row r="20" spans="1:19" ht="13.2" customHeight="1">
      <c r="A20" s="1011"/>
      <c r="B20" s="1022"/>
      <c r="C20" s="1013" t="s">
        <v>215</v>
      </c>
      <c r="D20" s="1169" t="s">
        <v>692</v>
      </c>
      <c r="E20" s="839"/>
      <c r="F20" s="274" t="s">
        <v>10</v>
      </c>
      <c r="G20" s="275"/>
      <c r="H20" s="840"/>
      <c r="I20" s="840"/>
      <c r="J20" s="256"/>
      <c r="K20" s="672"/>
      <c r="L20" s="672"/>
      <c r="M20" s="668">
        <f t="shared" si="2"/>
        <v>0</v>
      </c>
      <c r="N20" s="676"/>
      <c r="O20" s="676"/>
      <c r="P20" s="678" t="s">
        <v>790</v>
      </c>
      <c r="Q20" s="654"/>
      <c r="R20" s="654"/>
      <c r="S20" s="654"/>
    </row>
    <row r="21" spans="1:19" ht="13.2" customHeight="1">
      <c r="A21" s="1011"/>
      <c r="B21" s="1022"/>
      <c r="C21" s="1013"/>
      <c r="D21" s="1169"/>
      <c r="E21" s="839"/>
      <c r="F21" s="274" t="s">
        <v>11</v>
      </c>
      <c r="G21" s="276">
        <f>G18-G19</f>
        <v>621.86200000000008</v>
      </c>
      <c r="H21" s="840"/>
      <c r="I21" s="840"/>
      <c r="J21" s="256"/>
      <c r="K21" s="671">
        <f>K18-K19</f>
        <v>559.63209999999981</v>
      </c>
      <c r="L21" s="671">
        <v>621.86199999999997</v>
      </c>
      <c r="M21" s="668">
        <f t="shared" si="2"/>
        <v>-62.229900000000157</v>
      </c>
      <c r="N21" s="675">
        <f>N18-N19</f>
        <v>621.86200000000008</v>
      </c>
      <c r="O21" s="676">
        <f>N19*9.9593495935/90.0406504065</f>
        <v>559.63209706571638</v>
      </c>
      <c r="P21" s="672">
        <f>N21-O21</f>
        <v>62.2299029342837</v>
      </c>
      <c r="Q21" s="662"/>
      <c r="R21" s="654"/>
      <c r="S21" s="654"/>
    </row>
    <row r="22" spans="1:19" ht="13.2" customHeight="1">
      <c r="A22" s="1011" t="s">
        <v>200</v>
      </c>
      <c r="B22" s="1022" t="s">
        <v>675</v>
      </c>
      <c r="C22" s="1013" t="s">
        <v>131</v>
      </c>
      <c r="D22" s="1169" t="s">
        <v>586</v>
      </c>
      <c r="E22" s="839" t="s">
        <v>562</v>
      </c>
      <c r="F22" s="266" t="s">
        <v>4</v>
      </c>
      <c r="G22" s="270">
        <v>4540.92119</v>
      </c>
      <c r="H22" s="1045" t="s">
        <v>84</v>
      </c>
      <c r="I22" s="1046"/>
      <c r="K22" s="668">
        <v>4540.92119</v>
      </c>
      <c r="L22" s="668">
        <v>4540.92119</v>
      </c>
      <c r="M22" s="668">
        <f t="shared" si="2"/>
        <v>0</v>
      </c>
      <c r="N22" s="656"/>
      <c r="O22" s="657"/>
      <c r="P22" s="654"/>
      <c r="Q22" s="654"/>
      <c r="R22" s="654"/>
      <c r="S22" s="654"/>
    </row>
    <row r="23" spans="1:19" ht="13.2" customHeight="1">
      <c r="A23" s="1011"/>
      <c r="B23" s="1022"/>
      <c r="C23" s="1013"/>
      <c r="D23" s="1169"/>
      <c r="E23" s="839"/>
      <c r="F23" s="274" t="s">
        <v>24</v>
      </c>
      <c r="G23" s="276">
        <f>ROUND(G22*90.0406504065%,5)</f>
        <v>4088.67497</v>
      </c>
      <c r="H23" s="1047"/>
      <c r="I23" s="1048"/>
      <c r="K23" s="671">
        <f>ROUND(K22*90.0406504065%,5)</f>
        <v>4088.67497</v>
      </c>
      <c r="L23" s="671">
        <f>ROUND(L22*90.0406504065%,5)</f>
        <v>4088.67497</v>
      </c>
      <c r="M23" s="668">
        <f t="shared" si="2"/>
        <v>0</v>
      </c>
      <c r="N23" s="656"/>
      <c r="O23" s="657"/>
      <c r="P23" s="654"/>
      <c r="Q23" s="654"/>
      <c r="R23" s="654"/>
      <c r="S23" s="654"/>
    </row>
    <row r="24" spans="1:19" ht="13.2" customHeight="1">
      <c r="A24" s="1011"/>
      <c r="B24" s="1022"/>
      <c r="C24" s="1013" t="s">
        <v>215</v>
      </c>
      <c r="D24" s="1169" t="s">
        <v>693</v>
      </c>
      <c r="E24" s="839"/>
      <c r="F24" s="274" t="s">
        <v>10</v>
      </c>
      <c r="G24" s="275"/>
      <c r="H24" s="1047"/>
      <c r="I24" s="1048"/>
      <c r="K24" s="672"/>
      <c r="L24" s="672"/>
      <c r="M24" s="668">
        <f t="shared" si="2"/>
        <v>0</v>
      </c>
      <c r="N24" s="656"/>
      <c r="O24" s="657"/>
      <c r="P24" s="654"/>
      <c r="Q24" s="654"/>
      <c r="R24" s="654"/>
      <c r="S24" s="654"/>
    </row>
    <row r="25" spans="1:19" ht="13.2" customHeight="1">
      <c r="A25" s="1011"/>
      <c r="B25" s="1022"/>
      <c r="C25" s="1013"/>
      <c r="D25" s="1169"/>
      <c r="E25" s="839"/>
      <c r="F25" s="274" t="s">
        <v>11</v>
      </c>
      <c r="G25" s="276">
        <f>G22-G23</f>
        <v>452.24621999999999</v>
      </c>
      <c r="H25" s="1049"/>
      <c r="I25" s="1050"/>
      <c r="K25" s="671">
        <f>K22-K23</f>
        <v>452.24621999999999</v>
      </c>
      <c r="L25" s="671">
        <f>L22-L23</f>
        <v>452.24621999999999</v>
      </c>
      <c r="M25" s="668">
        <f t="shared" si="2"/>
        <v>0</v>
      </c>
      <c r="N25" s="656"/>
      <c r="O25" s="657"/>
      <c r="P25" s="654"/>
      <c r="Q25" s="654"/>
      <c r="R25" s="654"/>
      <c r="S25" s="654"/>
    </row>
    <row r="26" spans="1:19" ht="13.2" customHeight="1">
      <c r="A26" s="1011" t="s">
        <v>201</v>
      </c>
      <c r="B26" s="1022" t="s">
        <v>753</v>
      </c>
      <c r="C26" s="1013" t="s">
        <v>131</v>
      </c>
      <c r="D26" s="1169" t="s">
        <v>696</v>
      </c>
      <c r="E26" s="839" t="s">
        <v>562</v>
      </c>
      <c r="F26" s="266" t="s">
        <v>4</v>
      </c>
      <c r="G26" s="653">
        <v>3452.46524</v>
      </c>
      <c r="H26" s="840" t="s">
        <v>84</v>
      </c>
      <c r="I26" s="840"/>
      <c r="K26" s="668">
        <v>3452.46524</v>
      </c>
      <c r="L26" s="668">
        <v>3452.46524</v>
      </c>
      <c r="M26" s="668">
        <f t="shared" si="2"/>
        <v>0</v>
      </c>
      <c r="N26" s="673">
        <v>3452.46524</v>
      </c>
      <c r="O26" s="674">
        <v>3452.46524</v>
      </c>
      <c r="P26" s="674"/>
      <c r="Q26" s="654"/>
      <c r="R26" s="654"/>
      <c r="S26" s="654"/>
    </row>
    <row r="27" spans="1:19" ht="13.2" customHeight="1">
      <c r="A27" s="1011"/>
      <c r="B27" s="1022"/>
      <c r="C27" s="1013"/>
      <c r="D27" s="1169"/>
      <c r="E27" s="839"/>
      <c r="F27" s="274" t="s">
        <v>24</v>
      </c>
      <c r="G27" s="276">
        <v>2797.7599500000001</v>
      </c>
      <c r="H27" s="840"/>
      <c r="I27" s="840"/>
      <c r="K27" s="674">
        <v>2797.7599500000001</v>
      </c>
      <c r="L27" s="674">
        <v>2797.7599500000001</v>
      </c>
      <c r="M27" s="668">
        <f t="shared" si="2"/>
        <v>0</v>
      </c>
      <c r="N27" s="675">
        <v>2797.7599500000001</v>
      </c>
      <c r="O27" s="676">
        <f>I27</f>
        <v>0</v>
      </c>
      <c r="P27" s="677"/>
      <c r="Q27" s="654"/>
      <c r="R27" s="654"/>
      <c r="S27" s="654"/>
    </row>
    <row r="28" spans="1:19" ht="13.2" customHeight="1">
      <c r="A28" s="1011"/>
      <c r="B28" s="1022"/>
      <c r="C28" s="1013" t="s">
        <v>215</v>
      </c>
      <c r="D28" s="1176">
        <v>2379</v>
      </c>
      <c r="E28" s="839"/>
      <c r="F28" s="274" t="s">
        <v>10</v>
      </c>
      <c r="G28" s="275"/>
      <c r="H28" s="840"/>
      <c r="I28" s="840"/>
      <c r="K28" s="679"/>
      <c r="L28" s="679"/>
      <c r="M28" s="668">
        <f t="shared" si="2"/>
        <v>0</v>
      </c>
      <c r="N28" s="676"/>
      <c r="O28" s="676"/>
      <c r="P28" s="678" t="s">
        <v>790</v>
      </c>
      <c r="Q28" s="654"/>
      <c r="R28" s="654"/>
      <c r="S28" s="654"/>
    </row>
    <row r="29" spans="1:19" ht="13.2" customHeight="1">
      <c r="A29" s="1011"/>
      <c r="B29" s="1022"/>
      <c r="C29" s="1013"/>
      <c r="D29" s="1176"/>
      <c r="E29" s="839"/>
      <c r="F29" s="274" t="s">
        <v>11</v>
      </c>
      <c r="G29" s="276">
        <f>G26-G27</f>
        <v>654.70528999999988</v>
      </c>
      <c r="H29" s="840"/>
      <c r="I29" s="840"/>
      <c r="K29" s="671">
        <v>654.70528999999999</v>
      </c>
      <c r="L29" s="671">
        <v>654.70528999999999</v>
      </c>
      <c r="M29" s="668">
        <f t="shared" si="2"/>
        <v>0</v>
      </c>
      <c r="N29" s="675">
        <f>N26-N27</f>
        <v>654.70528999999988</v>
      </c>
      <c r="O29" s="676">
        <v>309.45877000000002</v>
      </c>
      <c r="P29" s="672">
        <f>N29-O29</f>
        <v>345.24651999999986</v>
      </c>
      <c r="Q29" s="654"/>
      <c r="R29" s="654"/>
      <c r="S29" s="654"/>
    </row>
    <row r="30" spans="1:19" ht="13.2" customHeight="1">
      <c r="A30" s="1011" t="s">
        <v>205</v>
      </c>
      <c r="B30" s="1022" t="s">
        <v>704</v>
      </c>
      <c r="C30" s="1013" t="s">
        <v>131</v>
      </c>
      <c r="D30" s="1169" t="s">
        <v>707</v>
      </c>
      <c r="E30" s="839" t="s">
        <v>562</v>
      </c>
      <c r="F30" s="266" t="s">
        <v>4</v>
      </c>
      <c r="G30" s="311">
        <v>2196.7600200000002</v>
      </c>
      <c r="H30" s="840" t="s">
        <v>84</v>
      </c>
      <c r="I30" s="840"/>
      <c r="K30" s="668">
        <v>2196.7600200000002</v>
      </c>
      <c r="L30" s="668">
        <v>2196.7600200000002</v>
      </c>
      <c r="M30" s="668">
        <f t="shared" si="2"/>
        <v>0</v>
      </c>
      <c r="N30" s="656"/>
      <c r="O30" s="657"/>
      <c r="P30" s="654"/>
      <c r="Q30" s="654"/>
      <c r="R30" s="654"/>
      <c r="S30" s="654"/>
    </row>
    <row r="31" spans="1:19" ht="13.2" customHeight="1">
      <c r="A31" s="1011"/>
      <c r="B31" s="1022"/>
      <c r="C31" s="1013"/>
      <c r="D31" s="1169"/>
      <c r="E31" s="839"/>
      <c r="F31" s="274" t="s">
        <v>24</v>
      </c>
      <c r="G31" s="276">
        <f>ROUND(G30*90.0406504065%,5)</f>
        <v>1977.9770100000001</v>
      </c>
      <c r="H31" s="840"/>
      <c r="I31" s="840"/>
      <c r="K31" s="671">
        <f>ROUND(K30*90.0406504065%,5)</f>
        <v>1977.9770100000001</v>
      </c>
      <c r="L31" s="671">
        <f>ROUND(L30*90.0406504065%,5)</f>
        <v>1977.9770100000001</v>
      </c>
      <c r="M31" s="668">
        <f t="shared" si="2"/>
        <v>0</v>
      </c>
      <c r="N31" s="656"/>
      <c r="O31" s="657"/>
      <c r="P31" s="654"/>
      <c r="Q31" s="654"/>
      <c r="R31" s="654"/>
      <c r="S31" s="654"/>
    </row>
    <row r="32" spans="1:19" ht="13.2" customHeight="1">
      <c r="A32" s="1011"/>
      <c r="B32" s="1022"/>
      <c r="C32" s="1013" t="s">
        <v>215</v>
      </c>
      <c r="D32" s="1169">
        <v>2984.59</v>
      </c>
      <c r="E32" s="839"/>
      <c r="F32" s="274" t="s">
        <v>10</v>
      </c>
      <c r="G32" s="275"/>
      <c r="H32" s="840"/>
      <c r="I32" s="840"/>
      <c r="K32" s="672"/>
      <c r="L32" s="672"/>
      <c r="M32" s="668">
        <f t="shared" si="2"/>
        <v>0</v>
      </c>
      <c r="N32" s="656"/>
      <c r="O32" s="657"/>
      <c r="P32" s="654"/>
      <c r="Q32" s="654"/>
      <c r="R32" s="654"/>
      <c r="S32" s="654"/>
    </row>
    <row r="33" spans="1:19" ht="13.2" customHeight="1">
      <c r="A33" s="1011"/>
      <c r="B33" s="1022"/>
      <c r="C33" s="1013"/>
      <c r="D33" s="1169"/>
      <c r="E33" s="839"/>
      <c r="F33" s="274" t="s">
        <v>11</v>
      </c>
      <c r="G33" s="276">
        <f>G30-G31</f>
        <v>218.7830100000001</v>
      </c>
      <c r="H33" s="840"/>
      <c r="I33" s="840"/>
      <c r="K33" s="671">
        <f>K30-K31</f>
        <v>218.7830100000001</v>
      </c>
      <c r="L33" s="671">
        <f>L30-L31</f>
        <v>218.7830100000001</v>
      </c>
      <c r="M33" s="668">
        <f t="shared" si="2"/>
        <v>0</v>
      </c>
      <c r="N33" s="656"/>
      <c r="O33" s="657"/>
      <c r="P33" s="654"/>
      <c r="Q33" s="654"/>
      <c r="R33" s="654"/>
      <c r="S33" s="654"/>
    </row>
    <row r="34" spans="1:19" ht="13.2" customHeight="1">
      <c r="A34" s="1011" t="s">
        <v>355</v>
      </c>
      <c r="B34" s="1022" t="s">
        <v>705</v>
      </c>
      <c r="C34" s="1013" t="s">
        <v>131</v>
      </c>
      <c r="D34" s="1169" t="s">
        <v>708</v>
      </c>
      <c r="E34" s="839" t="s">
        <v>562</v>
      </c>
      <c r="F34" s="266" t="s">
        <v>4</v>
      </c>
      <c r="G34" s="311">
        <v>5079.2049999999999</v>
      </c>
      <c r="H34" s="840" t="s">
        <v>84</v>
      </c>
      <c r="I34" s="840"/>
      <c r="K34" s="668">
        <v>4732</v>
      </c>
      <c r="L34" s="668">
        <v>5079.2049999999999</v>
      </c>
      <c r="M34" s="668">
        <f>K34-L34</f>
        <v>-347.20499999999993</v>
      </c>
      <c r="N34" s="656" t="s">
        <v>860</v>
      </c>
      <c r="O34" s="657"/>
      <c r="P34" s="654"/>
      <c r="Q34" s="654"/>
      <c r="R34" s="654"/>
      <c r="S34" s="654"/>
    </row>
    <row r="35" spans="1:19" ht="13.2" customHeight="1">
      <c r="A35" s="1011"/>
      <c r="B35" s="1022"/>
      <c r="C35" s="1013"/>
      <c r="D35" s="1169"/>
      <c r="E35" s="839"/>
      <c r="F35" s="274" t="s">
        <v>24</v>
      </c>
      <c r="G35" s="276">
        <f>ROUND(G34*90.0406504065%,5)</f>
        <v>4573.3492200000001</v>
      </c>
      <c r="H35" s="840"/>
      <c r="I35" s="840"/>
      <c r="K35" s="671">
        <f>ROUND(K34*90.0406504065%,5)</f>
        <v>4260.7235799999999</v>
      </c>
      <c r="L35" s="671">
        <f>ROUND(L34*90.0406504065%,5)</f>
        <v>4573.3492200000001</v>
      </c>
      <c r="M35" s="668">
        <f t="shared" ref="M35:M37" si="3">K35-L35</f>
        <v>-312.6256400000002</v>
      </c>
      <c r="N35" s="656"/>
      <c r="O35" s="657"/>
      <c r="P35" s="654"/>
      <c r="Q35" s="654"/>
      <c r="R35" s="654"/>
      <c r="S35" s="654"/>
    </row>
    <row r="36" spans="1:19" ht="13.2" customHeight="1">
      <c r="A36" s="1011"/>
      <c r="B36" s="1022"/>
      <c r="C36" s="1013" t="s">
        <v>215</v>
      </c>
      <c r="D36" s="1169">
        <v>2148.44</v>
      </c>
      <c r="E36" s="839"/>
      <c r="F36" s="274" t="s">
        <v>10</v>
      </c>
      <c r="G36" s="275"/>
      <c r="H36" s="840"/>
      <c r="I36" s="840"/>
      <c r="K36" s="672"/>
      <c r="L36" s="672"/>
      <c r="M36" s="668">
        <f t="shared" si="3"/>
        <v>0</v>
      </c>
      <c r="N36" s="656"/>
      <c r="O36" s="657"/>
      <c r="P36" s="654"/>
      <c r="Q36" s="654"/>
      <c r="R36" s="654"/>
      <c r="S36" s="654"/>
    </row>
    <row r="37" spans="1:19" ht="13.2" customHeight="1">
      <c r="A37" s="1011"/>
      <c r="B37" s="1022"/>
      <c r="C37" s="1013"/>
      <c r="D37" s="1169"/>
      <c r="E37" s="839"/>
      <c r="F37" s="274" t="s">
        <v>11</v>
      </c>
      <c r="G37" s="276">
        <f>G34-G35</f>
        <v>505.85577999999987</v>
      </c>
      <c r="H37" s="840"/>
      <c r="I37" s="840"/>
      <c r="K37" s="671">
        <f>K34-K35</f>
        <v>471.27642000000014</v>
      </c>
      <c r="L37" s="671">
        <f>L34-L35</f>
        <v>505.85577999999987</v>
      </c>
      <c r="M37" s="668">
        <f t="shared" si="3"/>
        <v>-34.579359999999724</v>
      </c>
      <c r="N37" s="656"/>
      <c r="O37" s="657"/>
      <c r="P37" s="654"/>
      <c r="Q37" s="654"/>
      <c r="R37" s="654"/>
      <c r="S37" s="654"/>
    </row>
    <row r="38" spans="1:19" ht="13.2" customHeight="1">
      <c r="A38" s="1011" t="s">
        <v>357</v>
      </c>
      <c r="B38" s="1022" t="s">
        <v>722</v>
      </c>
      <c r="C38" s="1013" t="s">
        <v>131</v>
      </c>
      <c r="D38" s="1169" t="s">
        <v>720</v>
      </c>
      <c r="E38" s="839" t="s">
        <v>562</v>
      </c>
      <c r="F38" s="266" t="s">
        <v>4</v>
      </c>
      <c r="G38" s="270">
        <v>1949.6858999999999</v>
      </c>
      <c r="H38" s="840" t="s">
        <v>84</v>
      </c>
      <c r="I38" s="840"/>
      <c r="K38" s="668">
        <v>1949.6858999999999</v>
      </c>
      <c r="L38" s="668">
        <v>1949.6858999999999</v>
      </c>
      <c r="M38" s="668">
        <f>K38-L38</f>
        <v>0</v>
      </c>
      <c r="N38" s="656"/>
      <c r="O38" s="657"/>
      <c r="P38" s="654"/>
      <c r="Q38" s="654"/>
      <c r="R38" s="654"/>
      <c r="S38" s="654"/>
    </row>
    <row r="39" spans="1:19" ht="13.2" customHeight="1">
      <c r="A39" s="1011"/>
      <c r="B39" s="1022"/>
      <c r="C39" s="1013"/>
      <c r="D39" s="1169"/>
      <c r="E39" s="839"/>
      <c r="F39" s="274" t="s">
        <v>24</v>
      </c>
      <c r="G39" s="276">
        <f>ROUND(G38*90.0406504065%,5)</f>
        <v>1755.5098700000001</v>
      </c>
      <c r="H39" s="840"/>
      <c r="I39" s="840"/>
      <c r="K39" s="671">
        <f>ROUND(K38*90.0406504065%,5)</f>
        <v>1755.5098700000001</v>
      </c>
      <c r="L39" s="671">
        <f>ROUND(L38*90.0406504065%,5)</f>
        <v>1755.5098700000001</v>
      </c>
      <c r="M39" s="668">
        <f t="shared" ref="M39:M85" si="4">K39-L39</f>
        <v>0</v>
      </c>
      <c r="N39" s="656"/>
      <c r="O39" s="657"/>
      <c r="P39" s="654"/>
      <c r="Q39" s="654"/>
      <c r="R39" s="654"/>
      <c r="S39" s="654"/>
    </row>
    <row r="40" spans="1:19" ht="13.2" customHeight="1">
      <c r="A40" s="1011"/>
      <c r="B40" s="1022"/>
      <c r="C40" s="1013" t="s">
        <v>215</v>
      </c>
      <c r="D40" s="1169" t="s">
        <v>719</v>
      </c>
      <c r="E40" s="839"/>
      <c r="F40" s="274" t="s">
        <v>10</v>
      </c>
      <c r="G40" s="275"/>
      <c r="H40" s="840"/>
      <c r="I40" s="840"/>
      <c r="K40" s="672"/>
      <c r="L40" s="672"/>
      <c r="M40" s="668">
        <f t="shared" si="4"/>
        <v>0</v>
      </c>
      <c r="N40" s="656"/>
      <c r="O40" s="657"/>
      <c r="P40" s="654"/>
      <c r="Q40" s="654"/>
      <c r="R40" s="654"/>
      <c r="S40" s="654"/>
    </row>
    <row r="41" spans="1:19" ht="13.2" customHeight="1">
      <c r="A41" s="1011"/>
      <c r="B41" s="1022"/>
      <c r="C41" s="1013"/>
      <c r="D41" s="1169"/>
      <c r="E41" s="839"/>
      <c r="F41" s="274" t="s">
        <v>11</v>
      </c>
      <c r="G41" s="276">
        <f>G38-G39</f>
        <v>194.17602999999986</v>
      </c>
      <c r="H41" s="840"/>
      <c r="I41" s="840"/>
      <c r="K41" s="671">
        <f>K38-K39</f>
        <v>194.17602999999986</v>
      </c>
      <c r="L41" s="671">
        <f>L38-L39</f>
        <v>194.17602999999986</v>
      </c>
      <c r="M41" s="668">
        <f t="shared" si="4"/>
        <v>0</v>
      </c>
      <c r="N41" s="656"/>
      <c r="O41" s="657"/>
      <c r="P41" s="654"/>
      <c r="Q41" s="654"/>
      <c r="R41" s="654"/>
      <c r="S41" s="654"/>
    </row>
    <row r="42" spans="1:19" ht="13.2" customHeight="1">
      <c r="A42" s="1011" t="s">
        <v>359</v>
      </c>
      <c r="B42" s="1022" t="s">
        <v>703</v>
      </c>
      <c r="C42" s="1013" t="s">
        <v>131</v>
      </c>
      <c r="D42" s="1169" t="s">
        <v>709</v>
      </c>
      <c r="E42" s="839" t="s">
        <v>562</v>
      </c>
      <c r="F42" s="266" t="s">
        <v>4</v>
      </c>
      <c r="G42" s="270">
        <v>4927.6369100000002</v>
      </c>
      <c r="H42" s="840" t="s">
        <v>84</v>
      </c>
      <c r="I42" s="840"/>
      <c r="K42" s="668">
        <v>5310.1971199999998</v>
      </c>
      <c r="L42" s="668">
        <v>4927.6369100000002</v>
      </c>
      <c r="M42" s="668">
        <f t="shared" si="4"/>
        <v>382.56020999999964</v>
      </c>
      <c r="N42" s="656" t="s">
        <v>817</v>
      </c>
      <c r="O42" s="657"/>
      <c r="P42" s="654"/>
      <c r="Q42" s="654"/>
      <c r="R42" s="654"/>
      <c r="S42" s="654"/>
    </row>
    <row r="43" spans="1:19" ht="13.2" customHeight="1">
      <c r="A43" s="1011"/>
      <c r="B43" s="1022"/>
      <c r="C43" s="1013"/>
      <c r="D43" s="1169"/>
      <c r="E43" s="839"/>
      <c r="F43" s="274" t="s">
        <v>24</v>
      </c>
      <c r="G43" s="276">
        <f>ROUND(G42*90.0406504065%,5)</f>
        <v>4436.8763200000003</v>
      </c>
      <c r="H43" s="840"/>
      <c r="I43" s="840"/>
      <c r="K43" s="671">
        <f>ROUND(K42*90.0406504065%,5)</f>
        <v>4781.3360199999997</v>
      </c>
      <c r="L43" s="671">
        <f>ROUND(L42*90.0406504065%,5)</f>
        <v>4436.8763200000003</v>
      </c>
      <c r="M43" s="668">
        <f t="shared" si="4"/>
        <v>344.45969999999943</v>
      </c>
      <c r="N43" s="669">
        <f>K43-L43</f>
        <v>344.45969999999943</v>
      </c>
      <c r="O43" s="657"/>
      <c r="P43" s="654"/>
      <c r="Q43" s="654"/>
      <c r="R43" s="548">
        <f>(M67+M75+M43)+M35+M51</f>
        <v>704.45662999999877</v>
      </c>
      <c r="S43" s="654"/>
    </row>
    <row r="44" spans="1:19" ht="13.2" customHeight="1">
      <c r="A44" s="1011"/>
      <c r="B44" s="1022"/>
      <c r="C44" s="1013" t="s">
        <v>215</v>
      </c>
      <c r="D44" s="1176">
        <v>2683</v>
      </c>
      <c r="E44" s="839"/>
      <c r="F44" s="274" t="s">
        <v>10</v>
      </c>
      <c r="G44" s="275"/>
      <c r="H44" s="840"/>
      <c r="I44" s="840"/>
      <c r="K44" s="672"/>
      <c r="L44" s="672"/>
      <c r="M44" s="668">
        <f t="shared" si="4"/>
        <v>0</v>
      </c>
      <c r="N44" s="656"/>
      <c r="O44" s="657"/>
      <c r="P44" s="662"/>
      <c r="Q44" s="654"/>
      <c r="R44" s="654"/>
      <c r="S44" s="654"/>
    </row>
    <row r="45" spans="1:19" ht="13.2" customHeight="1">
      <c r="A45" s="1011"/>
      <c r="B45" s="1022"/>
      <c r="C45" s="1013"/>
      <c r="D45" s="1176"/>
      <c r="E45" s="839"/>
      <c r="F45" s="274" t="s">
        <v>11</v>
      </c>
      <c r="G45" s="276">
        <f>G42-G43</f>
        <v>490.76058999999987</v>
      </c>
      <c r="H45" s="840"/>
      <c r="I45" s="840"/>
      <c r="K45" s="671">
        <f>K42-K43</f>
        <v>528.86110000000008</v>
      </c>
      <c r="L45" s="671">
        <f>L42-L43</f>
        <v>490.76058999999987</v>
      </c>
      <c r="M45" s="668">
        <f t="shared" si="4"/>
        <v>38.100510000000213</v>
      </c>
      <c r="N45" s="669"/>
      <c r="O45" s="657"/>
      <c r="P45" s="654"/>
      <c r="Q45" s="654"/>
      <c r="R45" s="654"/>
      <c r="S45" s="654"/>
    </row>
    <row r="46" spans="1:19" ht="13.2" customHeight="1">
      <c r="A46" s="1011" t="s">
        <v>727</v>
      </c>
      <c r="B46" s="1022" t="s">
        <v>730</v>
      </c>
      <c r="C46" s="1013" t="s">
        <v>131</v>
      </c>
      <c r="D46" s="1169" t="s">
        <v>779</v>
      </c>
      <c r="E46" s="839" t="s">
        <v>562</v>
      </c>
      <c r="F46" s="266" t="s">
        <v>4</v>
      </c>
      <c r="G46" s="270">
        <v>7103.3559999999998</v>
      </c>
      <c r="H46" s="840" t="s">
        <v>84</v>
      </c>
      <c r="I46" s="840"/>
      <c r="K46" s="668">
        <v>6590.5389999999998</v>
      </c>
      <c r="L46" s="668">
        <v>6590.5389999999998</v>
      </c>
      <c r="M46" s="668">
        <f>M47+M49</f>
        <v>7103.3559999999998</v>
      </c>
      <c r="N46" s="1106">
        <f>N47+N49+O49</f>
        <v>707.63292000000001</v>
      </c>
      <c r="O46" s="1106"/>
      <c r="P46" s="662"/>
      <c r="Q46" s="654"/>
      <c r="R46" s="654"/>
      <c r="S46" s="654"/>
    </row>
    <row r="47" spans="1:19" ht="13.2" customHeight="1">
      <c r="A47" s="1011"/>
      <c r="B47" s="1022"/>
      <c r="C47" s="1013"/>
      <c r="D47" s="1169"/>
      <c r="E47" s="839"/>
      <c r="F47" s="274" t="s">
        <v>24</v>
      </c>
      <c r="G47" s="276">
        <v>6395.7230799999998</v>
      </c>
      <c r="H47" s="840"/>
      <c r="I47" s="840"/>
      <c r="K47" s="671">
        <f>ROUND(K46*90.0406504065%,5)</f>
        <v>5934.1641799999998</v>
      </c>
      <c r="L47" s="671">
        <f>ROUND(L46*90.0406504065%,5)</f>
        <v>5934.1641799999998</v>
      </c>
      <c r="M47" s="668">
        <f>G47</f>
        <v>6395.7230799999998</v>
      </c>
      <c r="N47" s="676">
        <f>H47</f>
        <v>0</v>
      </c>
      <c r="O47" s="677"/>
      <c r="P47" s="654"/>
      <c r="Q47" s="654"/>
      <c r="R47" s="654"/>
      <c r="S47" s="654"/>
    </row>
    <row r="48" spans="1:19" ht="13.2" customHeight="1">
      <c r="A48" s="1011"/>
      <c r="B48" s="1022"/>
      <c r="C48" s="1013" t="s">
        <v>215</v>
      </c>
      <c r="D48" s="1169">
        <v>2410</v>
      </c>
      <c r="E48" s="839"/>
      <c r="F48" s="274" t="s">
        <v>10</v>
      </c>
      <c r="G48" s="275"/>
      <c r="H48" s="840"/>
      <c r="I48" s="840"/>
      <c r="K48" s="672"/>
      <c r="L48" s="672"/>
      <c r="M48" s="668">
        <f t="shared" si="4"/>
        <v>0</v>
      </c>
      <c r="N48" s="676"/>
      <c r="O48" s="678" t="s">
        <v>790</v>
      </c>
      <c r="P48" s="654"/>
      <c r="Q48" s="654"/>
      <c r="R48" s="654"/>
      <c r="S48" s="654"/>
    </row>
    <row r="49" spans="1:19" ht="13.2" customHeight="1">
      <c r="A49" s="1011"/>
      <c r="B49" s="1022"/>
      <c r="C49" s="1013"/>
      <c r="D49" s="1169"/>
      <c r="E49" s="839"/>
      <c r="F49" s="274" t="s">
        <v>11</v>
      </c>
      <c r="G49" s="276">
        <f>G46-G47</f>
        <v>707.63292000000001</v>
      </c>
      <c r="H49" s="840"/>
      <c r="I49" s="840"/>
      <c r="K49" s="671">
        <f>K46-K47</f>
        <v>656.37482</v>
      </c>
      <c r="L49" s="671">
        <f>L46-L47</f>
        <v>656.37482</v>
      </c>
      <c r="M49" s="668">
        <f>G49</f>
        <v>707.63292000000001</v>
      </c>
      <c r="N49" s="676">
        <f>M47*9.9593495935/90.0406504065</f>
        <v>707.42760930054635</v>
      </c>
      <c r="O49" s="672">
        <f>M49-N49</f>
        <v>0.20531069945366198</v>
      </c>
      <c r="P49" s="654"/>
      <c r="Q49" s="654"/>
      <c r="R49" s="654"/>
      <c r="S49" s="654"/>
    </row>
    <row r="50" spans="1:19" ht="13.2" customHeight="1">
      <c r="A50" s="1011" t="s">
        <v>524</v>
      </c>
      <c r="B50" s="1022" t="s">
        <v>729</v>
      </c>
      <c r="C50" s="1013" t="s">
        <v>131</v>
      </c>
      <c r="D50" s="1169" t="s">
        <v>780</v>
      </c>
      <c r="E50" s="839" t="s">
        <v>562</v>
      </c>
      <c r="F50" s="266" t="s">
        <v>4</v>
      </c>
      <c r="G50" s="270">
        <v>12624</v>
      </c>
      <c r="H50" s="840" t="s">
        <v>84</v>
      </c>
      <c r="I50" s="840"/>
      <c r="K50" s="668">
        <v>12497.76</v>
      </c>
      <c r="L50" s="668">
        <v>12624</v>
      </c>
      <c r="M50" s="668">
        <f t="shared" si="4"/>
        <v>-126.23999999999978</v>
      </c>
      <c r="N50" s="656" t="s">
        <v>864</v>
      </c>
      <c r="O50" s="657"/>
      <c r="P50" s="654"/>
      <c r="Q50" s="654"/>
      <c r="R50" s="654"/>
      <c r="S50" s="654"/>
    </row>
    <row r="51" spans="1:19" ht="13.2" customHeight="1">
      <c r="A51" s="1011"/>
      <c r="B51" s="1022"/>
      <c r="C51" s="1013"/>
      <c r="D51" s="1169"/>
      <c r="E51" s="839"/>
      <c r="F51" s="274" t="s">
        <v>24</v>
      </c>
      <c r="G51" s="276">
        <f>ROUND(G50*90.0406504065%,5)</f>
        <v>11366.73171</v>
      </c>
      <c r="H51" s="840"/>
      <c r="I51" s="840"/>
      <c r="K51" s="671">
        <f>ROUND(K50*90.0406504065%,5)</f>
        <v>11253.06439</v>
      </c>
      <c r="L51" s="671">
        <f>ROUND(L50*90.0406504065%,5)</f>
        <v>11366.73171</v>
      </c>
      <c r="M51" s="668">
        <f t="shared" si="4"/>
        <v>-113.66732000000047</v>
      </c>
      <c r="N51" s="656"/>
      <c r="O51" s="657"/>
      <c r="P51" s="654"/>
      <c r="Q51" s="654"/>
      <c r="R51" s="654"/>
      <c r="S51" s="654"/>
    </row>
    <row r="52" spans="1:19" ht="10.95" customHeight="1">
      <c r="A52" s="1011"/>
      <c r="B52" s="1022"/>
      <c r="C52" s="1013" t="s">
        <v>215</v>
      </c>
      <c r="D52" s="1169">
        <v>4399</v>
      </c>
      <c r="E52" s="839"/>
      <c r="F52" s="274" t="s">
        <v>10</v>
      </c>
      <c r="G52" s="275"/>
      <c r="H52" s="840"/>
      <c r="I52" s="840"/>
      <c r="K52" s="672"/>
      <c r="L52" s="672"/>
      <c r="M52" s="668">
        <f t="shared" si="4"/>
        <v>0</v>
      </c>
      <c r="N52" s="656"/>
      <c r="O52" s="657"/>
      <c r="P52" s="654"/>
      <c r="Q52" s="654"/>
      <c r="R52" s="654"/>
      <c r="S52" s="654"/>
    </row>
    <row r="53" spans="1:19" ht="13.2" customHeight="1">
      <c r="A53" s="1011"/>
      <c r="B53" s="1022"/>
      <c r="C53" s="1013"/>
      <c r="D53" s="1169"/>
      <c r="E53" s="839"/>
      <c r="F53" s="274" t="s">
        <v>11</v>
      </c>
      <c r="G53" s="276">
        <f>G50-G51</f>
        <v>1257.26829</v>
      </c>
      <c r="H53" s="840"/>
      <c r="I53" s="840"/>
      <c r="K53" s="671">
        <f>K50-K51</f>
        <v>1244.6956100000007</v>
      </c>
      <c r="L53" s="671">
        <f>L50-L51</f>
        <v>1257.26829</v>
      </c>
      <c r="M53" s="668">
        <f t="shared" si="4"/>
        <v>-12.572679999999309</v>
      </c>
      <c r="N53" s="656"/>
      <c r="O53" s="657"/>
      <c r="P53" s="654"/>
      <c r="Q53" s="654"/>
      <c r="R53" s="654"/>
      <c r="S53" s="654"/>
    </row>
    <row r="54" spans="1:19" ht="13.2" customHeight="1">
      <c r="A54" s="1011" t="s">
        <v>525</v>
      </c>
      <c r="B54" s="1022" t="s">
        <v>777</v>
      </c>
      <c r="C54" s="1013" t="s">
        <v>131</v>
      </c>
      <c r="D54" s="1169">
        <v>288</v>
      </c>
      <c r="E54" s="839" t="s">
        <v>562</v>
      </c>
      <c r="F54" s="266" t="s">
        <v>4</v>
      </c>
      <c r="G54" s="270">
        <v>5149.6639999999998</v>
      </c>
      <c r="H54" s="840" t="s">
        <v>84</v>
      </c>
      <c r="I54" s="840"/>
      <c r="K54" s="668">
        <v>5149.6639999999998</v>
      </c>
      <c r="L54" s="668">
        <v>5149.6639999999998</v>
      </c>
      <c r="M54" s="668">
        <f t="shared" si="4"/>
        <v>0</v>
      </c>
      <c r="N54" s="656"/>
      <c r="O54" s="657"/>
      <c r="P54" s="654"/>
      <c r="Q54" s="654"/>
      <c r="R54" s="654"/>
      <c r="S54" s="654"/>
    </row>
    <row r="55" spans="1:19" ht="13.2" customHeight="1">
      <c r="A55" s="1011"/>
      <c r="B55" s="1022"/>
      <c r="C55" s="1013"/>
      <c r="D55" s="1169"/>
      <c r="E55" s="839"/>
      <c r="F55" s="274" t="s">
        <v>24</v>
      </c>
      <c r="G55" s="276">
        <f>ROUND(G54*90.0406504065%,5)</f>
        <v>4636.7909600000003</v>
      </c>
      <c r="H55" s="840"/>
      <c r="I55" s="840"/>
      <c r="K55" s="671">
        <f>ROUND(K54*90.0406504065%,5)</f>
        <v>4636.7909600000003</v>
      </c>
      <c r="L55" s="671">
        <f>ROUND(L54*90.0406504065%,5)</f>
        <v>4636.7909600000003</v>
      </c>
      <c r="M55" s="668">
        <f t="shared" si="4"/>
        <v>0</v>
      </c>
      <c r="N55" s="656"/>
      <c r="O55" s="657"/>
      <c r="P55" s="654"/>
      <c r="Q55" s="654"/>
      <c r="R55" s="654"/>
      <c r="S55" s="654"/>
    </row>
    <row r="56" spans="1:19" ht="12" customHeight="1">
      <c r="A56" s="1011"/>
      <c r="B56" s="1022"/>
      <c r="C56" s="1013" t="s">
        <v>215</v>
      </c>
      <c r="D56" s="1177">
        <v>2021.8</v>
      </c>
      <c r="E56" s="839"/>
      <c r="F56" s="274" t="s">
        <v>10</v>
      </c>
      <c r="G56" s="275"/>
      <c r="H56" s="840"/>
      <c r="I56" s="840"/>
      <c r="K56" s="672"/>
      <c r="L56" s="672"/>
      <c r="M56" s="668">
        <f t="shared" si="4"/>
        <v>0</v>
      </c>
      <c r="N56" s="656"/>
      <c r="O56" s="657"/>
      <c r="P56" s="654"/>
      <c r="Q56" s="654"/>
      <c r="R56" s="654"/>
      <c r="S56" s="654"/>
    </row>
    <row r="57" spans="1:19" ht="13.2" customHeight="1">
      <c r="A57" s="1011"/>
      <c r="B57" s="1022"/>
      <c r="C57" s="1013"/>
      <c r="D57" s="1177"/>
      <c r="E57" s="839"/>
      <c r="F57" s="274" t="s">
        <v>11</v>
      </c>
      <c r="G57" s="276">
        <f>G54-G55</f>
        <v>512.87303999999949</v>
      </c>
      <c r="H57" s="840"/>
      <c r="I57" s="840"/>
      <c r="K57" s="671">
        <f>K54-K55</f>
        <v>512.87303999999949</v>
      </c>
      <c r="L57" s="671">
        <f>L54-L55</f>
        <v>512.87303999999949</v>
      </c>
      <c r="M57" s="668">
        <f t="shared" si="4"/>
        <v>0</v>
      </c>
      <c r="N57" s="656"/>
      <c r="O57" s="657"/>
      <c r="P57" s="654"/>
      <c r="Q57" s="654"/>
      <c r="R57" s="654"/>
      <c r="S57" s="654"/>
    </row>
    <row r="58" spans="1:19" ht="13.2" customHeight="1">
      <c r="A58" s="1011" t="s">
        <v>526</v>
      </c>
      <c r="B58" s="1022" t="s">
        <v>731</v>
      </c>
      <c r="C58" s="1013" t="s">
        <v>131</v>
      </c>
      <c r="D58" s="1169" t="s">
        <v>781</v>
      </c>
      <c r="E58" s="839" t="s">
        <v>562</v>
      </c>
      <c r="F58" s="266" t="s">
        <v>4</v>
      </c>
      <c r="G58" s="270">
        <v>5423.317</v>
      </c>
      <c r="H58" s="840" t="s">
        <v>84</v>
      </c>
      <c r="I58" s="840"/>
      <c r="K58" s="668">
        <v>5423.317</v>
      </c>
      <c r="L58" s="668">
        <v>5423.317</v>
      </c>
      <c r="M58" s="668">
        <f t="shared" si="4"/>
        <v>0</v>
      </c>
      <c r="N58" s="656"/>
      <c r="O58" s="657"/>
      <c r="P58" s="654"/>
      <c r="Q58" s="654"/>
      <c r="R58" s="654"/>
      <c r="S58" s="654"/>
    </row>
    <row r="59" spans="1:19" ht="13.2" customHeight="1">
      <c r="A59" s="1011"/>
      <c r="B59" s="1022"/>
      <c r="C59" s="1013"/>
      <c r="D59" s="1169"/>
      <c r="E59" s="839"/>
      <c r="F59" s="274" t="s">
        <v>24</v>
      </c>
      <c r="G59" s="276">
        <f>ROUND(G58*90.0406504065%,5)</f>
        <v>4883.1899000000003</v>
      </c>
      <c r="H59" s="840"/>
      <c r="I59" s="840"/>
      <c r="K59" s="671">
        <f>ROUND(K58*90.0406504065%,5)</f>
        <v>4883.1899000000003</v>
      </c>
      <c r="L59" s="671">
        <f>ROUND(L58*90.0406504065%,5)</f>
        <v>4883.1899000000003</v>
      </c>
      <c r="M59" s="668">
        <f t="shared" si="4"/>
        <v>0</v>
      </c>
      <c r="N59" s="656"/>
      <c r="O59" s="657"/>
      <c r="P59" s="654"/>
      <c r="Q59" s="654"/>
      <c r="R59" s="654"/>
      <c r="S59" s="654"/>
    </row>
    <row r="60" spans="1:19" ht="13.2" customHeight="1">
      <c r="A60" s="1011"/>
      <c r="B60" s="1022"/>
      <c r="C60" s="1013" t="s">
        <v>215</v>
      </c>
      <c r="D60" s="1169">
        <v>1356</v>
      </c>
      <c r="E60" s="839"/>
      <c r="F60" s="274" t="s">
        <v>10</v>
      </c>
      <c r="G60" s="275"/>
      <c r="H60" s="840"/>
      <c r="I60" s="840"/>
      <c r="K60" s="672"/>
      <c r="L60" s="672"/>
      <c r="M60" s="668">
        <f t="shared" si="4"/>
        <v>0</v>
      </c>
      <c r="N60" s="656"/>
      <c r="O60" s="657"/>
      <c r="P60" s="654"/>
      <c r="Q60" s="654"/>
      <c r="R60" s="654"/>
      <c r="S60" s="654"/>
    </row>
    <row r="61" spans="1:19" ht="13.2" customHeight="1">
      <c r="A61" s="1011"/>
      <c r="B61" s="1022"/>
      <c r="C61" s="1013"/>
      <c r="D61" s="1169"/>
      <c r="E61" s="839"/>
      <c r="F61" s="274" t="s">
        <v>11</v>
      </c>
      <c r="G61" s="276">
        <f>G58-G59</f>
        <v>540.1270999999997</v>
      </c>
      <c r="H61" s="840"/>
      <c r="I61" s="840"/>
      <c r="K61" s="671">
        <f>K58-K59</f>
        <v>540.1270999999997</v>
      </c>
      <c r="L61" s="671">
        <f>L58-L59</f>
        <v>540.1270999999997</v>
      </c>
      <c r="M61" s="668">
        <f t="shared" si="4"/>
        <v>0</v>
      </c>
      <c r="N61" s="656"/>
      <c r="O61" s="657"/>
      <c r="P61" s="654"/>
      <c r="Q61" s="654"/>
      <c r="R61" s="654"/>
      <c r="S61" s="654"/>
    </row>
    <row r="62" spans="1:19" ht="13.2" customHeight="1">
      <c r="A62" s="1011" t="s">
        <v>527</v>
      </c>
      <c r="B62" s="1022" t="s">
        <v>909</v>
      </c>
      <c r="C62" s="1013" t="s">
        <v>131</v>
      </c>
      <c r="D62" s="1169" t="s">
        <v>782</v>
      </c>
      <c r="E62" s="839" t="s">
        <v>562</v>
      </c>
      <c r="F62" s="266" t="s">
        <v>4</v>
      </c>
      <c r="G62" s="270">
        <v>2587</v>
      </c>
      <c r="H62" s="840" t="s">
        <v>84</v>
      </c>
      <c r="I62" s="840"/>
      <c r="K62" s="668">
        <v>2587</v>
      </c>
      <c r="L62" s="668">
        <v>2587</v>
      </c>
      <c r="M62" s="668">
        <f t="shared" si="4"/>
        <v>0</v>
      </c>
      <c r="N62" s="656"/>
      <c r="O62" s="657"/>
      <c r="P62" s="654"/>
      <c r="Q62" s="654"/>
      <c r="R62" s="654"/>
      <c r="S62" s="654"/>
    </row>
    <row r="63" spans="1:19" ht="13.2" customHeight="1">
      <c r="A63" s="1011"/>
      <c r="B63" s="1022"/>
      <c r="C63" s="1013"/>
      <c r="D63" s="1169"/>
      <c r="E63" s="839"/>
      <c r="F63" s="274" t="s">
        <v>24</v>
      </c>
      <c r="G63" s="276">
        <f>ROUND(G62*90.0406504065%,5)</f>
        <v>2329.3516300000001</v>
      </c>
      <c r="H63" s="840"/>
      <c r="I63" s="840"/>
      <c r="K63" s="671">
        <f>ROUND(K62*90.0406504065%,5)</f>
        <v>2329.3516300000001</v>
      </c>
      <c r="L63" s="671">
        <f>ROUND(L62*90.0406504065%,5)</f>
        <v>2329.3516300000001</v>
      </c>
      <c r="M63" s="668">
        <f t="shared" si="4"/>
        <v>0</v>
      </c>
      <c r="N63" s="656"/>
      <c r="O63" s="657"/>
      <c r="P63" s="654"/>
      <c r="Q63" s="654"/>
      <c r="R63" s="654"/>
      <c r="S63" s="654"/>
    </row>
    <row r="64" spans="1:19" ht="13.2" customHeight="1">
      <c r="A64" s="1011"/>
      <c r="B64" s="1022"/>
      <c r="C64" s="1013" t="s">
        <v>215</v>
      </c>
      <c r="D64" s="1169">
        <v>1050</v>
      </c>
      <c r="E64" s="839"/>
      <c r="F64" s="274" t="s">
        <v>10</v>
      </c>
      <c r="G64" s="275"/>
      <c r="H64" s="840"/>
      <c r="I64" s="840"/>
      <c r="K64" s="672"/>
      <c r="L64" s="672"/>
      <c r="M64" s="668">
        <f t="shared" si="4"/>
        <v>0</v>
      </c>
      <c r="N64" s="656"/>
      <c r="O64" s="657"/>
      <c r="P64" s="654"/>
      <c r="Q64" s="654"/>
      <c r="R64" s="654"/>
      <c r="S64" s="654"/>
    </row>
    <row r="65" spans="1:19" ht="13.2" customHeight="1">
      <c r="A65" s="1011"/>
      <c r="B65" s="1022"/>
      <c r="C65" s="1013"/>
      <c r="D65" s="1169"/>
      <c r="E65" s="839"/>
      <c r="F65" s="274" t="s">
        <v>11</v>
      </c>
      <c r="G65" s="276">
        <f>G62-G63</f>
        <v>257.64836999999989</v>
      </c>
      <c r="H65" s="840"/>
      <c r="I65" s="840"/>
      <c r="K65" s="671">
        <f>K62-K63</f>
        <v>257.64836999999989</v>
      </c>
      <c r="L65" s="671">
        <f>L62-L63</f>
        <v>257.64836999999989</v>
      </c>
      <c r="M65" s="668">
        <f t="shared" si="4"/>
        <v>0</v>
      </c>
      <c r="N65" s="656"/>
      <c r="O65" s="657"/>
      <c r="P65" s="654"/>
      <c r="Q65" s="654"/>
      <c r="R65" s="654"/>
      <c r="S65" s="654"/>
    </row>
    <row r="66" spans="1:19" ht="13.2" customHeight="1">
      <c r="A66" s="1011" t="s">
        <v>546</v>
      </c>
      <c r="B66" s="1022" t="s">
        <v>732</v>
      </c>
      <c r="C66" s="1013" t="s">
        <v>131</v>
      </c>
      <c r="D66" s="1169" t="s">
        <v>783</v>
      </c>
      <c r="E66" s="839" t="s">
        <v>562</v>
      </c>
      <c r="F66" s="266" t="s">
        <v>4</v>
      </c>
      <c r="G66" s="270">
        <v>4853.7569999999996</v>
      </c>
      <c r="H66" s="840" t="s">
        <v>84</v>
      </c>
      <c r="I66" s="840"/>
      <c r="K66" s="668">
        <v>5577.9160000000002</v>
      </c>
      <c r="L66" s="668">
        <v>4853.7569999999996</v>
      </c>
      <c r="M66" s="668">
        <f t="shared" si="4"/>
        <v>724.15900000000056</v>
      </c>
      <c r="N66" s="680" t="s">
        <v>851</v>
      </c>
      <c r="O66" s="657" t="s">
        <v>852</v>
      </c>
      <c r="P66" s="654"/>
      <c r="Q66" s="654"/>
      <c r="R66" s="654">
        <v>724.15899999999999</v>
      </c>
      <c r="S66" s="654"/>
    </row>
    <row r="67" spans="1:19" ht="13.2" customHeight="1">
      <c r="A67" s="1011"/>
      <c r="B67" s="1022"/>
      <c r="C67" s="1013"/>
      <c r="D67" s="1169"/>
      <c r="E67" s="839"/>
      <c r="F67" s="274" t="s">
        <v>24</v>
      </c>
      <c r="G67" s="276">
        <f>ROUND(G66*90.0406504065%,5)</f>
        <v>4370.35437</v>
      </c>
      <c r="H67" s="840"/>
      <c r="I67" s="840"/>
      <c r="K67" s="671">
        <f>ROUND(K66*90.0406504065%,5)</f>
        <v>5022.39185</v>
      </c>
      <c r="L67" s="671">
        <f>ROUND(L66*90.0406504065%,5)</f>
        <v>4370.35437</v>
      </c>
      <c r="M67" s="668">
        <f t="shared" si="4"/>
        <v>652.03747999999996</v>
      </c>
      <c r="N67" s="671"/>
      <c r="O67" s="657"/>
      <c r="P67" s="654"/>
      <c r="Q67" s="654"/>
      <c r="R67" s="654">
        <v>652.03747999999996</v>
      </c>
      <c r="S67" s="654"/>
    </row>
    <row r="68" spans="1:19" ht="13.2" customHeight="1">
      <c r="A68" s="1011"/>
      <c r="B68" s="1022"/>
      <c r="C68" s="1013" t="s">
        <v>215</v>
      </c>
      <c r="D68" s="1169">
        <v>2180</v>
      </c>
      <c r="E68" s="839"/>
      <c r="F68" s="274" t="s">
        <v>10</v>
      </c>
      <c r="G68" s="275"/>
      <c r="H68" s="840"/>
      <c r="I68" s="840"/>
      <c r="K68" s="672"/>
      <c r="L68" s="672"/>
      <c r="M68" s="668">
        <f t="shared" si="4"/>
        <v>0</v>
      </c>
      <c r="N68" s="681"/>
      <c r="O68" s="657"/>
      <c r="P68" s="654"/>
      <c r="Q68" s="654"/>
      <c r="R68" s="654"/>
      <c r="S68" s="654"/>
    </row>
    <row r="69" spans="1:19" ht="13.2" customHeight="1">
      <c r="A69" s="1011"/>
      <c r="B69" s="1022"/>
      <c r="C69" s="1013"/>
      <c r="D69" s="1169"/>
      <c r="E69" s="839"/>
      <c r="F69" s="274" t="s">
        <v>11</v>
      </c>
      <c r="G69" s="276">
        <f>G66-G67</f>
        <v>483.40262999999959</v>
      </c>
      <c r="H69" s="840"/>
      <c r="I69" s="840"/>
      <c r="K69" s="671">
        <f>K66-K67</f>
        <v>555.52415000000019</v>
      </c>
      <c r="L69" s="671">
        <f>L66-L67</f>
        <v>483.40262999999959</v>
      </c>
      <c r="M69" s="668">
        <f t="shared" si="4"/>
        <v>72.121520000000601</v>
      </c>
      <c r="N69" s="671"/>
      <c r="O69" s="657"/>
      <c r="P69" s="654"/>
      <c r="Q69" s="654"/>
      <c r="R69" s="654">
        <v>72.121520000000004</v>
      </c>
      <c r="S69" s="654"/>
    </row>
    <row r="70" spans="1:19" ht="13.2" customHeight="1">
      <c r="A70" s="1011" t="s">
        <v>559</v>
      </c>
      <c r="B70" s="1022" t="s">
        <v>756</v>
      </c>
      <c r="C70" s="1013" t="s">
        <v>131</v>
      </c>
      <c r="D70" s="1169" t="s">
        <v>784</v>
      </c>
      <c r="E70" s="839" t="s">
        <v>562</v>
      </c>
      <c r="F70" s="266" t="s">
        <v>4</v>
      </c>
      <c r="G70" s="270">
        <v>3942.7979999999998</v>
      </c>
      <c r="H70" s="840" t="s">
        <v>84</v>
      </c>
      <c r="I70" s="840"/>
      <c r="K70" s="668">
        <v>3942.7979999999998</v>
      </c>
      <c r="L70" s="668">
        <v>3942.7979999999998</v>
      </c>
      <c r="M70" s="668">
        <f t="shared" si="4"/>
        <v>0</v>
      </c>
      <c r="N70" s="656"/>
      <c r="O70" s="657"/>
      <c r="P70" s="654"/>
      <c r="Q70" s="654"/>
      <c r="R70" s="654"/>
      <c r="S70" s="654"/>
    </row>
    <row r="71" spans="1:19" ht="13.2" customHeight="1">
      <c r="A71" s="1011"/>
      <c r="B71" s="1022"/>
      <c r="C71" s="1013"/>
      <c r="D71" s="1169"/>
      <c r="E71" s="839"/>
      <c r="F71" s="274" t="s">
        <v>24</v>
      </c>
      <c r="G71" s="276">
        <f>ROUND(G70*90.0406504065%,5)</f>
        <v>3550.1209600000002</v>
      </c>
      <c r="H71" s="840"/>
      <c r="I71" s="840"/>
      <c r="K71" s="671">
        <f>ROUND(K70*90.0406504065%,5)</f>
        <v>3550.1209600000002</v>
      </c>
      <c r="L71" s="671">
        <f>ROUND(L70*90.0406504065%,5)</f>
        <v>3550.1209600000002</v>
      </c>
      <c r="M71" s="668">
        <f t="shared" si="4"/>
        <v>0</v>
      </c>
      <c r="N71" s="656"/>
      <c r="O71" s="657"/>
      <c r="P71" s="654"/>
      <c r="Q71" s="654"/>
      <c r="R71" s="654"/>
      <c r="S71" s="654"/>
    </row>
    <row r="72" spans="1:19" ht="9" customHeight="1">
      <c r="A72" s="1011"/>
      <c r="B72" s="1022"/>
      <c r="C72" s="1013" t="s">
        <v>215</v>
      </c>
      <c r="D72" s="1169">
        <v>2984.59</v>
      </c>
      <c r="E72" s="839"/>
      <c r="F72" s="274" t="s">
        <v>10</v>
      </c>
      <c r="G72" s="275"/>
      <c r="H72" s="840"/>
      <c r="I72" s="840"/>
      <c r="K72" s="672"/>
      <c r="L72" s="672"/>
      <c r="M72" s="668">
        <f t="shared" si="4"/>
        <v>0</v>
      </c>
      <c r="N72" s="656"/>
      <c r="O72" s="657"/>
      <c r="P72" s="654"/>
      <c r="Q72" s="654"/>
      <c r="R72" s="654"/>
      <c r="S72" s="654"/>
    </row>
    <row r="73" spans="1:19" ht="13.2" customHeight="1">
      <c r="A73" s="1011"/>
      <c r="B73" s="1022"/>
      <c r="C73" s="1013"/>
      <c r="D73" s="1169"/>
      <c r="E73" s="839"/>
      <c r="F73" s="274" t="s">
        <v>11</v>
      </c>
      <c r="G73" s="276">
        <f>G70-G71</f>
        <v>392.67703999999958</v>
      </c>
      <c r="H73" s="840"/>
      <c r="I73" s="840"/>
      <c r="K73" s="671">
        <f>K70-K71</f>
        <v>392.67703999999958</v>
      </c>
      <c r="L73" s="671">
        <f>L70-L71</f>
        <v>392.67703999999958</v>
      </c>
      <c r="M73" s="668">
        <f t="shared" si="4"/>
        <v>0</v>
      </c>
      <c r="N73" s="656"/>
      <c r="O73" s="657"/>
      <c r="P73" s="654"/>
      <c r="Q73" s="654"/>
      <c r="R73" s="654"/>
      <c r="S73" s="654"/>
    </row>
    <row r="74" spans="1:19" ht="15.6" customHeight="1">
      <c r="A74" s="1011" t="s">
        <v>601</v>
      </c>
      <c r="B74" s="1022" t="s">
        <v>736</v>
      </c>
      <c r="C74" s="1013" t="s">
        <v>131</v>
      </c>
      <c r="D74" s="1169" t="s">
        <v>785</v>
      </c>
      <c r="E74" s="839" t="s">
        <v>562</v>
      </c>
      <c r="F74" s="266" t="s">
        <v>4</v>
      </c>
      <c r="G74" s="270">
        <v>1893.1179999999999</v>
      </c>
      <c r="H74" s="840" t="s">
        <v>84</v>
      </c>
      <c r="I74" s="840"/>
      <c r="K74" s="668">
        <v>2042.22</v>
      </c>
      <c r="L74" s="668">
        <v>1893.1179999999999</v>
      </c>
      <c r="M74" s="668">
        <f t="shared" si="4"/>
        <v>149.10200000000009</v>
      </c>
      <c r="N74" s="680" t="s">
        <v>851</v>
      </c>
      <c r="O74" s="657" t="s">
        <v>852</v>
      </c>
      <c r="P74" s="654"/>
      <c r="Q74" s="654"/>
      <c r="R74" s="654">
        <v>149.102</v>
      </c>
      <c r="S74" s="654"/>
    </row>
    <row r="75" spans="1:19" ht="15.6" customHeight="1">
      <c r="A75" s="1011"/>
      <c r="B75" s="1022"/>
      <c r="C75" s="1013"/>
      <c r="D75" s="1169"/>
      <c r="E75" s="839"/>
      <c r="F75" s="274" t="s">
        <v>24</v>
      </c>
      <c r="G75" s="276">
        <f>ROUND(G74*90.0406504065%,5)</f>
        <v>1704.5757599999999</v>
      </c>
      <c r="H75" s="840"/>
      <c r="I75" s="840"/>
      <c r="K75" s="671">
        <f>ROUND(K74*90.0406504065%,5)</f>
        <v>1838.82817</v>
      </c>
      <c r="L75" s="671">
        <f>ROUND(L74*90.0406504065%,5)</f>
        <v>1704.5757599999999</v>
      </c>
      <c r="M75" s="668">
        <f t="shared" si="4"/>
        <v>134.25241000000005</v>
      </c>
      <c r="N75" s="656"/>
      <c r="O75" s="657"/>
      <c r="P75" s="654"/>
      <c r="Q75" s="654"/>
      <c r="R75" s="654">
        <v>134.25241</v>
      </c>
      <c r="S75" s="654"/>
    </row>
    <row r="76" spans="1:19" ht="15.6" customHeight="1">
      <c r="A76" s="1011"/>
      <c r="B76" s="1022"/>
      <c r="C76" s="1013" t="s">
        <v>215</v>
      </c>
      <c r="D76" s="1176">
        <v>436</v>
      </c>
      <c r="E76" s="839"/>
      <c r="F76" s="274" t="s">
        <v>10</v>
      </c>
      <c r="G76" s="275"/>
      <c r="H76" s="840"/>
      <c r="I76" s="840"/>
      <c r="K76" s="672"/>
      <c r="L76" s="672"/>
      <c r="M76" s="668">
        <f t="shared" si="4"/>
        <v>0</v>
      </c>
      <c r="N76" s="656"/>
      <c r="O76" s="657"/>
      <c r="P76" s="654"/>
      <c r="Q76" s="654"/>
      <c r="R76" s="654"/>
      <c r="S76" s="654"/>
    </row>
    <row r="77" spans="1:19" ht="15.6" customHeight="1">
      <c r="A77" s="1011"/>
      <c r="B77" s="1022"/>
      <c r="C77" s="1013"/>
      <c r="D77" s="1176"/>
      <c r="E77" s="839"/>
      <c r="F77" s="274" t="s">
        <v>11</v>
      </c>
      <c r="G77" s="276">
        <f>G74-G75</f>
        <v>188.54223999999999</v>
      </c>
      <c r="H77" s="840"/>
      <c r="I77" s="840"/>
      <c r="K77" s="671">
        <f>K74-K75</f>
        <v>203.39183000000003</v>
      </c>
      <c r="L77" s="671">
        <f>L74-L75</f>
        <v>188.54223999999999</v>
      </c>
      <c r="M77" s="668">
        <f t="shared" si="4"/>
        <v>14.849590000000035</v>
      </c>
      <c r="N77" s="656"/>
      <c r="O77" s="657"/>
      <c r="P77" s="654"/>
      <c r="Q77" s="654"/>
      <c r="R77" s="654">
        <v>14.849589999999999</v>
      </c>
      <c r="S77" s="654"/>
    </row>
    <row r="78" spans="1:19" ht="13.2" customHeight="1">
      <c r="A78" s="1011" t="s">
        <v>738</v>
      </c>
      <c r="B78" s="1022" t="s">
        <v>735</v>
      </c>
      <c r="C78" s="1013" t="s">
        <v>131</v>
      </c>
      <c r="D78" s="1169" t="s">
        <v>786</v>
      </c>
      <c r="E78" s="839" t="s">
        <v>562</v>
      </c>
      <c r="F78" s="266" t="s">
        <v>4</v>
      </c>
      <c r="G78" s="270">
        <v>2926.627</v>
      </c>
      <c r="H78" s="840" t="s">
        <v>84</v>
      </c>
      <c r="I78" s="840"/>
      <c r="K78" s="668">
        <v>2926.627</v>
      </c>
      <c r="L78" s="668">
        <v>2926.627</v>
      </c>
      <c r="M78" s="668">
        <f t="shared" si="4"/>
        <v>0</v>
      </c>
      <c r="N78" s="656"/>
      <c r="O78" s="657"/>
      <c r="P78" s="654"/>
      <c r="Q78" s="654"/>
      <c r="R78" s="654"/>
      <c r="S78" s="654"/>
    </row>
    <row r="79" spans="1:19" ht="13.2" customHeight="1">
      <c r="A79" s="1011"/>
      <c r="B79" s="1022"/>
      <c r="C79" s="1013"/>
      <c r="D79" s="1169"/>
      <c r="E79" s="839"/>
      <c r="F79" s="274" t="s">
        <v>24</v>
      </c>
      <c r="G79" s="276">
        <f>ROUND(G78*90.0406504065%,5)</f>
        <v>2635.1539899999998</v>
      </c>
      <c r="H79" s="840"/>
      <c r="I79" s="840"/>
      <c r="K79" s="671">
        <f>ROUND(K78*90.0406504065%,5)</f>
        <v>2635.1539899999998</v>
      </c>
      <c r="L79" s="671">
        <f>ROUND(L78*90.0406504065%,5)</f>
        <v>2635.1539899999998</v>
      </c>
      <c r="M79" s="668">
        <f t="shared" si="4"/>
        <v>0</v>
      </c>
      <c r="N79" s="656"/>
      <c r="O79" s="657"/>
      <c r="P79" s="654"/>
      <c r="Q79" s="654"/>
      <c r="R79" s="654"/>
      <c r="S79" s="654"/>
    </row>
    <row r="80" spans="1:19" ht="11.4" customHeight="1">
      <c r="A80" s="1011"/>
      <c r="B80" s="1022"/>
      <c r="C80" s="1013" t="s">
        <v>215</v>
      </c>
      <c r="D80" s="1176">
        <v>520</v>
      </c>
      <c r="E80" s="839"/>
      <c r="F80" s="274" t="s">
        <v>10</v>
      </c>
      <c r="G80" s="275"/>
      <c r="H80" s="840"/>
      <c r="I80" s="840"/>
      <c r="K80" s="672"/>
      <c r="L80" s="672"/>
      <c r="M80" s="668">
        <f t="shared" si="4"/>
        <v>0</v>
      </c>
      <c r="N80" s="656"/>
      <c r="O80" s="657"/>
      <c r="P80" s="654"/>
      <c r="Q80" s="654"/>
      <c r="R80" s="654"/>
      <c r="S80" s="654"/>
    </row>
    <row r="81" spans="1:19" ht="13.2" customHeight="1">
      <c r="A81" s="1011"/>
      <c r="B81" s="1022"/>
      <c r="C81" s="1013"/>
      <c r="D81" s="1176"/>
      <c r="E81" s="839"/>
      <c r="F81" s="274" t="s">
        <v>11</v>
      </c>
      <c r="G81" s="276">
        <f>G78-G79</f>
        <v>291.47301000000016</v>
      </c>
      <c r="H81" s="840"/>
      <c r="I81" s="840"/>
      <c r="K81" s="671">
        <f>K78-K79</f>
        <v>291.47301000000016</v>
      </c>
      <c r="L81" s="671">
        <f>L78-L79</f>
        <v>291.47301000000016</v>
      </c>
      <c r="M81" s="668">
        <f t="shared" si="4"/>
        <v>0</v>
      </c>
      <c r="N81" s="656"/>
      <c r="O81" s="657"/>
      <c r="P81" s="654"/>
      <c r="Q81" s="654"/>
      <c r="R81" s="654"/>
      <c r="S81" s="654"/>
    </row>
    <row r="82" spans="1:19" ht="11.4" customHeight="1">
      <c r="A82" s="1011" t="s">
        <v>739</v>
      </c>
      <c r="B82" s="1022" t="s">
        <v>737</v>
      </c>
      <c r="C82" s="1013" t="s">
        <v>131</v>
      </c>
      <c r="D82" s="1169" t="s">
        <v>787</v>
      </c>
      <c r="E82" s="839" t="s">
        <v>562</v>
      </c>
      <c r="F82" s="266" t="s">
        <v>4</v>
      </c>
      <c r="G82" s="270">
        <v>10531.302</v>
      </c>
      <c r="H82" s="840" t="s">
        <v>84</v>
      </c>
      <c r="I82" s="840"/>
      <c r="K82" s="668">
        <v>10531.302</v>
      </c>
      <c r="L82" s="668">
        <v>10531.302</v>
      </c>
      <c r="M82" s="668">
        <f t="shared" si="4"/>
        <v>0</v>
      </c>
      <c r="N82" s="656"/>
      <c r="O82" s="657"/>
      <c r="P82" s="654"/>
      <c r="Q82" s="654"/>
      <c r="R82" s="654"/>
      <c r="S82" s="654"/>
    </row>
    <row r="83" spans="1:19" ht="11.4" customHeight="1">
      <c r="A83" s="1011"/>
      <c r="B83" s="1022"/>
      <c r="C83" s="1013"/>
      <c r="D83" s="1169"/>
      <c r="E83" s="839"/>
      <c r="F83" s="274" t="s">
        <v>24</v>
      </c>
      <c r="G83" s="276">
        <f>ROUND(G82*90.0406504065%,5)</f>
        <v>9482.4528200000004</v>
      </c>
      <c r="H83" s="840"/>
      <c r="I83" s="840"/>
      <c r="K83" s="671">
        <f>ROUND(K82*90.0406504065%,5)</f>
        <v>9482.4528200000004</v>
      </c>
      <c r="L83" s="671">
        <f>ROUND(L82*90.0406504065%,5)</f>
        <v>9482.4528200000004</v>
      </c>
      <c r="M83" s="668">
        <f t="shared" si="4"/>
        <v>0</v>
      </c>
      <c r="N83" s="656"/>
      <c r="O83" s="657">
        <v>115.54470999999999</v>
      </c>
      <c r="P83" s="654"/>
      <c r="Q83" s="654"/>
      <c r="R83" s="654"/>
      <c r="S83" s="654"/>
    </row>
    <row r="84" spans="1:19" ht="11.4" customHeight="1">
      <c r="A84" s="1011"/>
      <c r="B84" s="1022"/>
      <c r="C84" s="1013" t="s">
        <v>215</v>
      </c>
      <c r="D84" s="1169">
        <v>2974</v>
      </c>
      <c r="E84" s="839"/>
      <c r="F84" s="274" t="s">
        <v>10</v>
      </c>
      <c r="G84" s="275"/>
      <c r="H84" s="840"/>
      <c r="I84" s="840"/>
      <c r="K84" s="672"/>
      <c r="L84" s="672"/>
      <c r="M84" s="668">
        <f t="shared" si="4"/>
        <v>0</v>
      </c>
      <c r="N84" s="656"/>
      <c r="O84" s="657">
        <f>O85-28600</f>
        <v>0</v>
      </c>
      <c r="P84" s="654"/>
      <c r="Q84" s="654"/>
      <c r="R84" s="654"/>
      <c r="S84" s="654"/>
    </row>
    <row r="85" spans="1:19" ht="11.4" customHeight="1">
      <c r="A85" s="1011"/>
      <c r="B85" s="1022"/>
      <c r="C85" s="1013"/>
      <c r="D85" s="1169"/>
      <c r="E85" s="839"/>
      <c r="F85" s="274" t="s">
        <v>11</v>
      </c>
      <c r="G85" s="276">
        <f>G82-G83</f>
        <v>1048.8491799999993</v>
      </c>
      <c r="H85" s="840"/>
      <c r="I85" s="840"/>
      <c r="K85" s="671">
        <f>K82-K83</f>
        <v>1048.8491799999993</v>
      </c>
      <c r="L85" s="671">
        <f>L82-L83</f>
        <v>1048.8491799999993</v>
      </c>
      <c r="M85" s="668">
        <f t="shared" si="4"/>
        <v>0</v>
      </c>
      <c r="N85" s="656"/>
      <c r="O85" s="657">
        <f>G87+G91+G95+G99+G103+G107+G111</f>
        <v>28600</v>
      </c>
      <c r="P85" s="682" t="s">
        <v>695</v>
      </c>
      <c r="Q85" s="654"/>
      <c r="R85" s="654"/>
      <c r="S85" s="654"/>
    </row>
    <row r="86" spans="1:19" ht="13.95" customHeight="1">
      <c r="A86" s="1011" t="s">
        <v>740</v>
      </c>
      <c r="B86" s="1022" t="s">
        <v>746</v>
      </c>
      <c r="C86" s="1013" t="s">
        <v>131</v>
      </c>
      <c r="D86" s="1169">
        <v>1200</v>
      </c>
      <c r="E86" s="839" t="s">
        <v>562</v>
      </c>
      <c r="F86" s="266" t="s">
        <v>4</v>
      </c>
      <c r="G86" s="311">
        <v>7263.5</v>
      </c>
      <c r="H86" s="840" t="s">
        <v>84</v>
      </c>
      <c r="I86" s="840"/>
      <c r="K86" s="668">
        <f>K87+K89</f>
        <v>7333.34</v>
      </c>
      <c r="L86" s="673">
        <v>7263.5</v>
      </c>
      <c r="M86" s="668">
        <f>K86-L86</f>
        <v>69.840000000000146</v>
      </c>
      <c r="N86" s="669">
        <f>G86+G90+G94+G98+G102+G106</f>
        <v>31891.7562</v>
      </c>
      <c r="O86" s="683">
        <f>L86+L90+L94+L98+L102+L106</f>
        <v>31891.7562</v>
      </c>
      <c r="P86" s="669">
        <f>N86-O86</f>
        <v>0</v>
      </c>
      <c r="Q86" s="684"/>
      <c r="R86" s="654"/>
      <c r="S86" s="654"/>
    </row>
    <row r="87" spans="1:19" ht="13.95" customHeight="1">
      <c r="A87" s="1011"/>
      <c r="B87" s="1022"/>
      <c r="C87" s="1013"/>
      <c r="D87" s="1169"/>
      <c r="E87" s="839"/>
      <c r="F87" s="274" t="s">
        <v>24</v>
      </c>
      <c r="G87" s="685">
        <f>ROUND(G86*89.9999937062941%,5)</f>
        <v>6537.1495400000003</v>
      </c>
      <c r="H87" s="840"/>
      <c r="I87" s="840"/>
      <c r="K87" s="671">
        <v>6600</v>
      </c>
      <c r="L87" s="671">
        <f>ROUND(L86*89.9999937062941%,5)</f>
        <v>6537.1495400000003</v>
      </c>
      <c r="M87" s="668">
        <f t="shared" ref="M87:M105" si="5">G87-L87</f>
        <v>0</v>
      </c>
      <c r="N87" s="669">
        <f>G87+G91+G95+G99+G103+G107</f>
        <v>28600</v>
      </c>
      <c r="O87" s="683">
        <f t="shared" ref="O87:O88" si="6">L87+L91+L95+L99+L103+L107</f>
        <v>28600</v>
      </c>
      <c r="P87" s="669">
        <f t="shared" ref="P87:P89" si="7">N87-O87</f>
        <v>0</v>
      </c>
      <c r="Q87" s="686"/>
      <c r="R87" s="654"/>
      <c r="S87" s="654"/>
    </row>
    <row r="88" spans="1:19" ht="13.95" customHeight="1">
      <c r="A88" s="1011"/>
      <c r="B88" s="1022"/>
      <c r="C88" s="1013" t="s">
        <v>215</v>
      </c>
      <c r="D88" s="1169">
        <v>8400</v>
      </c>
      <c r="E88" s="839"/>
      <c r="F88" s="274" t="s">
        <v>10</v>
      </c>
      <c r="G88" s="687"/>
      <c r="H88" s="840"/>
      <c r="I88" s="840"/>
      <c r="K88" s="672"/>
      <c r="L88" s="672"/>
      <c r="M88" s="668">
        <f t="shared" si="5"/>
        <v>0</v>
      </c>
      <c r="N88" s="669">
        <f t="shared" ref="N88:N89" si="8">G88+G92+G96+G100+G104+G108</f>
        <v>0</v>
      </c>
      <c r="O88" s="683">
        <f t="shared" si="6"/>
        <v>0</v>
      </c>
      <c r="P88" s="669">
        <f t="shared" si="7"/>
        <v>0</v>
      </c>
      <c r="Q88" s="686"/>
      <c r="R88" s="654"/>
      <c r="S88" s="654"/>
    </row>
    <row r="89" spans="1:19" ht="13.95" customHeight="1">
      <c r="A89" s="1011"/>
      <c r="B89" s="1022"/>
      <c r="C89" s="1013"/>
      <c r="D89" s="1169"/>
      <c r="E89" s="839"/>
      <c r="F89" s="274" t="s">
        <v>11</v>
      </c>
      <c r="G89" s="685">
        <f>G86-G87</f>
        <v>726.35045999999966</v>
      </c>
      <c r="H89" s="840"/>
      <c r="I89" s="840"/>
      <c r="K89" s="671">
        <v>733.34</v>
      </c>
      <c r="L89" s="671">
        <f>L86-L87</f>
        <v>726.35045999999966</v>
      </c>
      <c r="M89" s="668">
        <f t="shared" si="5"/>
        <v>0</v>
      </c>
      <c r="N89" s="669">
        <f t="shared" si="8"/>
        <v>3291.756199999998</v>
      </c>
      <c r="O89" s="683">
        <f>L89+L93+L97+L101+L105+L109</f>
        <v>3291.756199999998</v>
      </c>
      <c r="P89" s="669">
        <f t="shared" si="7"/>
        <v>0</v>
      </c>
      <c r="Q89" s="686"/>
      <c r="R89" s="654"/>
      <c r="S89" s="654"/>
    </row>
    <row r="90" spans="1:19" ht="13.95" customHeight="1">
      <c r="A90" s="1011" t="s">
        <v>741</v>
      </c>
      <c r="B90" s="1022" t="s">
        <v>747</v>
      </c>
      <c r="C90" s="1013" t="s">
        <v>131</v>
      </c>
      <c r="D90" s="1169">
        <v>540</v>
      </c>
      <c r="E90" s="839" t="s">
        <v>562</v>
      </c>
      <c r="F90" s="266" t="s">
        <v>4</v>
      </c>
      <c r="G90" s="311">
        <v>5222.0339999999997</v>
      </c>
      <c r="H90" s="840" t="s">
        <v>84</v>
      </c>
      <c r="I90" s="840"/>
      <c r="K90" s="668">
        <f>K91+K93</f>
        <v>5222.2299999999996</v>
      </c>
      <c r="L90" s="673">
        <v>5222.0339999999997</v>
      </c>
      <c r="M90" s="668">
        <f t="shared" si="5"/>
        <v>0</v>
      </c>
      <c r="N90" s="673"/>
      <c r="O90" s="688"/>
      <c r="P90" s="688"/>
      <c r="Q90" s="684"/>
      <c r="R90" s="654"/>
      <c r="S90" s="654"/>
    </row>
    <row r="91" spans="1:19" ht="13.95" customHeight="1">
      <c r="A91" s="1011"/>
      <c r="B91" s="1022"/>
      <c r="C91" s="1013"/>
      <c r="D91" s="1169"/>
      <c r="E91" s="839"/>
      <c r="F91" s="274" t="s">
        <v>24</v>
      </c>
      <c r="G91" s="685">
        <f>ROUND(G90*89.9999937062941%,5)</f>
        <v>4699.8302700000004</v>
      </c>
      <c r="H91" s="840"/>
      <c r="I91" s="840"/>
      <c r="K91" s="671">
        <v>4700</v>
      </c>
      <c r="L91" s="671">
        <f>ROUND(L90*89.9999937062941%,5)</f>
        <v>4699.8302700000004</v>
      </c>
      <c r="M91" s="668">
        <f t="shared" si="5"/>
        <v>0</v>
      </c>
      <c r="N91" s="675"/>
      <c r="O91" s="674"/>
      <c r="P91" s="677"/>
      <c r="Q91" s="686"/>
      <c r="R91" s="654"/>
      <c r="S91" s="654"/>
    </row>
    <row r="92" spans="1:19" ht="13.95" customHeight="1">
      <c r="A92" s="1011"/>
      <c r="B92" s="1022"/>
      <c r="C92" s="1013" t="s">
        <v>215</v>
      </c>
      <c r="D92" s="1169">
        <v>3780</v>
      </c>
      <c r="E92" s="839"/>
      <c r="F92" s="274" t="s">
        <v>10</v>
      </c>
      <c r="G92" s="687"/>
      <c r="H92" s="840"/>
      <c r="I92" s="840"/>
      <c r="K92" s="672"/>
      <c r="L92" s="672"/>
      <c r="M92" s="668">
        <f t="shared" si="5"/>
        <v>0</v>
      </c>
      <c r="N92" s="676"/>
      <c r="O92" s="674"/>
      <c r="P92" s="677"/>
      <c r="Q92" s="686"/>
      <c r="R92" s="654"/>
      <c r="S92" s="654"/>
    </row>
    <row r="93" spans="1:19" ht="13.95" customHeight="1">
      <c r="A93" s="1011"/>
      <c r="B93" s="1022"/>
      <c r="C93" s="1013"/>
      <c r="D93" s="1169"/>
      <c r="E93" s="839"/>
      <c r="F93" s="274" t="s">
        <v>11</v>
      </c>
      <c r="G93" s="685">
        <f>G90-G91</f>
        <v>522.20372999999927</v>
      </c>
      <c r="H93" s="840"/>
      <c r="I93" s="840"/>
      <c r="K93" s="671">
        <v>522.23</v>
      </c>
      <c r="L93" s="671">
        <f>L90-L91</f>
        <v>522.20372999999927</v>
      </c>
      <c r="M93" s="668">
        <f t="shared" si="5"/>
        <v>0</v>
      </c>
      <c r="N93" s="675"/>
      <c r="O93" s="674"/>
      <c r="P93" s="689"/>
      <c r="Q93" s="686"/>
      <c r="R93" s="654"/>
      <c r="S93" s="654"/>
    </row>
    <row r="94" spans="1:19" ht="13.95" customHeight="1">
      <c r="A94" s="1011" t="s">
        <v>742</v>
      </c>
      <c r="B94" s="1022" t="s">
        <v>706</v>
      </c>
      <c r="C94" s="1013" t="s">
        <v>131</v>
      </c>
      <c r="D94" s="1169">
        <v>325</v>
      </c>
      <c r="E94" s="839" t="s">
        <v>562</v>
      </c>
      <c r="F94" s="266" t="s">
        <v>4</v>
      </c>
      <c r="G94" s="311">
        <v>2031.2650000000001</v>
      </c>
      <c r="H94" s="840" t="s">
        <v>84</v>
      </c>
      <c r="I94" s="840"/>
      <c r="K94" s="668">
        <f>K95+K97</f>
        <v>1888.8899999999999</v>
      </c>
      <c r="L94" s="673">
        <v>2031.2650000000001</v>
      </c>
      <c r="M94" s="668">
        <f t="shared" si="5"/>
        <v>0</v>
      </c>
      <c r="N94" s="656"/>
      <c r="O94" s="657"/>
      <c r="P94" s="654"/>
      <c r="Q94" s="684"/>
      <c r="R94" s="654"/>
      <c r="S94" s="654"/>
    </row>
    <row r="95" spans="1:19" ht="13.95" customHeight="1">
      <c r="A95" s="1011"/>
      <c r="B95" s="1022"/>
      <c r="C95" s="1013"/>
      <c r="D95" s="1169"/>
      <c r="E95" s="839"/>
      <c r="F95" s="274" t="s">
        <v>24</v>
      </c>
      <c r="G95" s="690">
        <f>ROUND(G94*89.9999937062941%,5)</f>
        <v>1828.1383699999999</v>
      </c>
      <c r="H95" s="840"/>
      <c r="I95" s="840"/>
      <c r="K95" s="671">
        <v>1700</v>
      </c>
      <c r="L95" s="671">
        <f>ROUND(L94*89.9999937062941%,5)</f>
        <v>1828.1383699999999</v>
      </c>
      <c r="M95" s="668">
        <f t="shared" si="5"/>
        <v>0</v>
      </c>
      <c r="N95" s="656"/>
      <c r="O95" s="657"/>
      <c r="P95" s="654"/>
      <c r="Q95" s="686"/>
      <c r="R95" s="654"/>
      <c r="S95" s="654"/>
    </row>
    <row r="96" spans="1:19" ht="13.95" customHeight="1">
      <c r="A96" s="1011"/>
      <c r="B96" s="1022"/>
      <c r="C96" s="1013" t="s">
        <v>215</v>
      </c>
      <c r="D96" s="1175">
        <v>2280</v>
      </c>
      <c r="E96" s="839"/>
      <c r="F96" s="274" t="s">
        <v>10</v>
      </c>
      <c r="G96" s="687"/>
      <c r="H96" s="840"/>
      <c r="I96" s="840"/>
      <c r="K96" s="672"/>
      <c r="L96" s="672"/>
      <c r="M96" s="668">
        <f t="shared" si="5"/>
        <v>0</v>
      </c>
      <c r="N96" s="656"/>
      <c r="O96" s="657"/>
      <c r="P96" s="654"/>
      <c r="Q96" s="686"/>
      <c r="R96" s="654"/>
      <c r="S96" s="654"/>
    </row>
    <row r="97" spans="1:19" ht="13.95" customHeight="1">
      <c r="A97" s="1011"/>
      <c r="B97" s="1022"/>
      <c r="C97" s="1013"/>
      <c r="D97" s="1175"/>
      <c r="E97" s="839"/>
      <c r="F97" s="274" t="s">
        <v>11</v>
      </c>
      <c r="G97" s="690">
        <f>G94-G95</f>
        <v>203.1266300000002</v>
      </c>
      <c r="H97" s="840"/>
      <c r="I97" s="840"/>
      <c r="K97" s="671">
        <v>188.89</v>
      </c>
      <c r="L97" s="671">
        <f>L94-L95</f>
        <v>203.1266300000002</v>
      </c>
      <c r="M97" s="668">
        <f t="shared" si="5"/>
        <v>0</v>
      </c>
      <c r="N97" s="669">
        <f>28600-G87-G91-G95-G99-G103</f>
        <v>1440.8828000000012</v>
      </c>
      <c r="O97" s="657"/>
      <c r="P97" s="654"/>
      <c r="Q97" s="686"/>
      <c r="R97" s="654"/>
      <c r="S97" s="654"/>
    </row>
    <row r="98" spans="1:19" ht="13.95" customHeight="1">
      <c r="A98" s="1011" t="s">
        <v>743</v>
      </c>
      <c r="B98" s="1022" t="s">
        <v>723</v>
      </c>
      <c r="C98" s="1013" t="s">
        <v>131</v>
      </c>
      <c r="D98" s="1169">
        <v>1500</v>
      </c>
      <c r="E98" s="839" t="s">
        <v>562</v>
      </c>
      <c r="F98" s="266" t="s">
        <v>4</v>
      </c>
      <c r="G98" s="311">
        <v>9720</v>
      </c>
      <c r="H98" s="840" t="s">
        <v>84</v>
      </c>
      <c r="I98" s="840"/>
      <c r="K98" s="668">
        <f>K99+K101</f>
        <v>10777.78</v>
      </c>
      <c r="L98" s="673">
        <v>9720</v>
      </c>
      <c r="M98" s="668">
        <f t="shared" si="5"/>
        <v>0</v>
      </c>
      <c r="N98" s="669"/>
      <c r="O98" s="657"/>
      <c r="P98" s="654"/>
      <c r="Q98" s="684"/>
      <c r="R98" s="654"/>
      <c r="S98" s="654"/>
    </row>
    <row r="99" spans="1:19" ht="13.95" customHeight="1">
      <c r="A99" s="1011"/>
      <c r="B99" s="1022"/>
      <c r="C99" s="1013"/>
      <c r="D99" s="1169"/>
      <c r="E99" s="839"/>
      <c r="F99" s="274" t="s">
        <v>24</v>
      </c>
      <c r="G99" s="690">
        <f>ROUND(G98*89.9999937062941%,5)</f>
        <v>8747.9993900000009</v>
      </c>
      <c r="H99" s="840"/>
      <c r="I99" s="840"/>
      <c r="K99" s="671">
        <v>9700</v>
      </c>
      <c r="L99" s="671">
        <f>ROUND(L98*89.9999937062941%,5)</f>
        <v>8747.9993900000009</v>
      </c>
      <c r="M99" s="668">
        <f t="shared" si="5"/>
        <v>0</v>
      </c>
      <c r="N99" s="691"/>
      <c r="O99" s="692"/>
      <c r="P99" s="654"/>
      <c r="Q99" s="686"/>
      <c r="R99" s="654"/>
      <c r="S99" s="654"/>
    </row>
    <row r="100" spans="1:19" ht="13.95" customHeight="1">
      <c r="A100" s="1011"/>
      <c r="B100" s="1022"/>
      <c r="C100" s="1013" t="s">
        <v>215</v>
      </c>
      <c r="D100" s="1169">
        <v>10500</v>
      </c>
      <c r="E100" s="839"/>
      <c r="F100" s="274" t="s">
        <v>10</v>
      </c>
      <c r="G100" s="687"/>
      <c r="H100" s="840"/>
      <c r="I100" s="840"/>
      <c r="K100" s="672"/>
      <c r="L100" s="672"/>
      <c r="M100" s="668">
        <f t="shared" si="5"/>
        <v>0</v>
      </c>
      <c r="N100" s="691"/>
      <c r="O100" s="692"/>
      <c r="P100" s="654"/>
      <c r="Q100" s="686"/>
      <c r="R100" s="654"/>
      <c r="S100" s="654"/>
    </row>
    <row r="101" spans="1:19" ht="13.95" customHeight="1">
      <c r="A101" s="1011"/>
      <c r="B101" s="1022"/>
      <c r="C101" s="1013"/>
      <c r="D101" s="1169"/>
      <c r="E101" s="839"/>
      <c r="F101" s="274" t="s">
        <v>11</v>
      </c>
      <c r="G101" s="690">
        <f>G98-G99</f>
        <v>972.00060999999914</v>
      </c>
      <c r="H101" s="840"/>
      <c r="I101" s="840"/>
      <c r="K101" s="671">
        <v>1077.78</v>
      </c>
      <c r="L101" s="671">
        <f>L98-L99</f>
        <v>972.00060999999914</v>
      </c>
      <c r="M101" s="668">
        <f t="shared" si="5"/>
        <v>0</v>
      </c>
      <c r="N101" s="691"/>
      <c r="O101" s="692"/>
      <c r="P101" s="654">
        <v>12.268890000000001</v>
      </c>
      <c r="Q101" s="686"/>
      <c r="R101" s="654"/>
      <c r="S101" s="654"/>
    </row>
    <row r="102" spans="1:19" ht="13.95" customHeight="1">
      <c r="A102" s="1011" t="s">
        <v>744</v>
      </c>
      <c r="B102" s="1022" t="s">
        <v>710</v>
      </c>
      <c r="C102" s="1013" t="s">
        <v>131</v>
      </c>
      <c r="D102" s="1169">
        <v>900</v>
      </c>
      <c r="E102" s="839" t="s">
        <v>562</v>
      </c>
      <c r="F102" s="266" t="s">
        <v>4</v>
      </c>
      <c r="G102" s="311">
        <v>5940</v>
      </c>
      <c r="H102" s="840" t="s">
        <v>84</v>
      </c>
      <c r="I102" s="840"/>
      <c r="K102" s="668">
        <f>K103+K105</f>
        <v>6555.5599999999995</v>
      </c>
      <c r="L102" s="673">
        <v>5940</v>
      </c>
      <c r="M102" s="668">
        <f t="shared" si="5"/>
        <v>0</v>
      </c>
      <c r="N102" s="656"/>
      <c r="O102" s="657"/>
      <c r="P102" s="654"/>
      <c r="Q102" s="684"/>
      <c r="R102" s="654"/>
      <c r="S102" s="654"/>
    </row>
    <row r="103" spans="1:19" ht="13.95" customHeight="1">
      <c r="A103" s="1011"/>
      <c r="B103" s="1022"/>
      <c r="C103" s="1013"/>
      <c r="D103" s="1169"/>
      <c r="E103" s="839"/>
      <c r="F103" s="274" t="s">
        <v>24</v>
      </c>
      <c r="G103" s="690">
        <f>ROUND(G102*89.9999937062941%,5)</f>
        <v>5345.9996300000003</v>
      </c>
      <c r="H103" s="840"/>
      <c r="I103" s="840"/>
      <c r="K103" s="671">
        <v>5900</v>
      </c>
      <c r="L103" s="671">
        <f>ROUND(L102*89.9999937062941%,5)</f>
        <v>5345.9996300000003</v>
      </c>
      <c r="M103" s="668">
        <f t="shared" si="5"/>
        <v>0</v>
      </c>
      <c r="N103" s="656"/>
      <c r="O103" s="657"/>
      <c r="P103" s="654"/>
      <c r="Q103" s="667"/>
      <c r="R103" s="654"/>
      <c r="S103" s="654"/>
    </row>
    <row r="104" spans="1:19" ht="13.95" customHeight="1">
      <c r="A104" s="1011"/>
      <c r="B104" s="1022"/>
      <c r="C104" s="1013" t="s">
        <v>215</v>
      </c>
      <c r="D104" s="1169">
        <v>6300</v>
      </c>
      <c r="E104" s="839"/>
      <c r="F104" s="274" t="s">
        <v>10</v>
      </c>
      <c r="G104" s="687"/>
      <c r="H104" s="840"/>
      <c r="I104" s="840"/>
      <c r="K104" s="672"/>
      <c r="L104" s="672"/>
      <c r="M104" s="668">
        <f t="shared" si="5"/>
        <v>0</v>
      </c>
      <c r="N104" s="669"/>
      <c r="O104" s="657"/>
      <c r="P104" s="654"/>
      <c r="Q104" s="654"/>
      <c r="R104" s="654"/>
      <c r="S104" s="654"/>
    </row>
    <row r="105" spans="1:19" ht="13.95" customHeight="1">
      <c r="A105" s="1011"/>
      <c r="B105" s="1022"/>
      <c r="C105" s="1013"/>
      <c r="D105" s="1169"/>
      <c r="E105" s="839"/>
      <c r="F105" s="274" t="s">
        <v>11</v>
      </c>
      <c r="G105" s="690">
        <f>G102-G103</f>
        <v>594.00036999999975</v>
      </c>
      <c r="H105" s="840"/>
      <c r="I105" s="840"/>
      <c r="K105" s="671">
        <v>655.56</v>
      </c>
      <c r="L105" s="671">
        <f>L102-L103</f>
        <v>594.00036999999975</v>
      </c>
      <c r="M105" s="668">
        <f t="shared" si="5"/>
        <v>0</v>
      </c>
      <c r="N105" s="657"/>
      <c r="O105" s="657"/>
      <c r="P105" s="654"/>
      <c r="Q105" s="654"/>
      <c r="R105" s="654"/>
      <c r="S105" s="654"/>
    </row>
    <row r="106" spans="1:19" ht="13.95" customHeight="1">
      <c r="A106" s="1083" t="s">
        <v>745</v>
      </c>
      <c r="B106" s="1022" t="s">
        <v>838</v>
      </c>
      <c r="C106" s="1013" t="s">
        <v>131</v>
      </c>
      <c r="D106" s="1169">
        <v>167</v>
      </c>
      <c r="E106" s="839" t="s">
        <v>562</v>
      </c>
      <c r="F106" s="266" t="s">
        <v>4</v>
      </c>
      <c r="G106" s="311">
        <v>1714.9572000000001</v>
      </c>
      <c r="H106" s="840" t="s">
        <v>84</v>
      </c>
      <c r="I106" s="1124"/>
      <c r="K106" s="675"/>
      <c r="L106" s="673">
        <v>1714.9572000000001</v>
      </c>
      <c r="M106" s="668">
        <v>1714.9572000000001</v>
      </c>
      <c r="N106" s="1106">
        <f>N107+N109+O109</f>
        <v>274.07439999999997</v>
      </c>
      <c r="O106" s="1106"/>
      <c r="P106" s="654"/>
      <c r="Q106" s="673"/>
      <c r="R106" s="654"/>
      <c r="S106" s="654"/>
    </row>
    <row r="107" spans="1:19" ht="13.95" customHeight="1">
      <c r="A107" s="1083"/>
      <c r="B107" s="1022"/>
      <c r="C107" s="1013"/>
      <c r="D107" s="1169"/>
      <c r="E107" s="839"/>
      <c r="F107" s="274" t="s">
        <v>24</v>
      </c>
      <c r="G107" s="276">
        <v>1440.8828000000001</v>
      </c>
      <c r="H107" s="840"/>
      <c r="I107" s="1124"/>
      <c r="K107" s="675"/>
      <c r="L107" s="675">
        <v>1440.8828000000001</v>
      </c>
      <c r="M107" s="668">
        <f>L107</f>
        <v>1440.8828000000001</v>
      </c>
      <c r="N107" s="676">
        <f>H107</f>
        <v>0</v>
      </c>
      <c r="O107" s="677"/>
      <c r="P107" s="654"/>
      <c r="Q107" s="671"/>
      <c r="R107" s="654"/>
      <c r="S107" s="654"/>
    </row>
    <row r="108" spans="1:19" ht="13.95" customHeight="1">
      <c r="A108" s="1083"/>
      <c r="B108" s="1022"/>
      <c r="C108" s="1013" t="s">
        <v>215</v>
      </c>
      <c r="D108" s="1169">
        <v>1170</v>
      </c>
      <c r="E108" s="839"/>
      <c r="F108" s="274" t="s">
        <v>10</v>
      </c>
      <c r="G108" s="275"/>
      <c r="H108" s="840"/>
      <c r="I108" s="1124"/>
      <c r="K108" s="675"/>
      <c r="L108" s="676"/>
      <c r="M108" s="668"/>
      <c r="N108" s="676"/>
      <c r="O108" s="678" t="s">
        <v>790</v>
      </c>
      <c r="P108" s="654"/>
      <c r="Q108" s="676"/>
      <c r="R108" s="654"/>
      <c r="S108" s="654"/>
    </row>
    <row r="109" spans="1:19" ht="13.95" customHeight="1" thickBot="1">
      <c r="A109" s="1084"/>
      <c r="B109" s="1171"/>
      <c r="C109" s="1168"/>
      <c r="D109" s="1170"/>
      <c r="E109" s="1172"/>
      <c r="F109" s="693" t="s">
        <v>11</v>
      </c>
      <c r="G109" s="694">
        <f>G106-G107</f>
        <v>274.07439999999997</v>
      </c>
      <c r="H109" s="1173"/>
      <c r="I109" s="1174"/>
      <c r="K109" s="675"/>
      <c r="L109" s="675">
        <f>L106-L107</f>
        <v>274.07439999999997</v>
      </c>
      <c r="M109" s="668">
        <f>L109</f>
        <v>274.07439999999997</v>
      </c>
      <c r="N109" s="676">
        <f>M107*10.0000062937059/89.9999937062941</f>
        <v>160.09820084559522</v>
      </c>
      <c r="O109" s="672">
        <f>M109-N109</f>
        <v>113.97619915440475</v>
      </c>
      <c r="P109" s="654"/>
      <c r="Q109" s="675"/>
      <c r="R109" s="654"/>
      <c r="S109" s="654"/>
    </row>
    <row r="110" spans="1:19" ht="13.95" customHeight="1">
      <c r="A110" s="1072" t="s">
        <v>858</v>
      </c>
      <c r="B110" s="1075" t="s">
        <v>931</v>
      </c>
      <c r="C110" s="1077" t="s">
        <v>131</v>
      </c>
      <c r="D110" s="1079">
        <v>459</v>
      </c>
      <c r="E110" s="1043" t="s">
        <v>562</v>
      </c>
      <c r="F110" s="695" t="s">
        <v>4</v>
      </c>
      <c r="G110" s="696">
        <v>3307.5381600000001</v>
      </c>
      <c r="H110" s="1047" t="s">
        <v>84</v>
      </c>
      <c r="I110" s="1048"/>
      <c r="K110" s="675">
        <v>5605.9970000000003</v>
      </c>
      <c r="L110" s="668">
        <v>5605.9970000000003</v>
      </c>
      <c r="M110" s="668"/>
      <c r="N110" s="697"/>
      <c r="O110" s="657"/>
      <c r="P110" s="654"/>
      <c r="Q110" s="654"/>
      <c r="R110" s="654"/>
      <c r="S110" s="654"/>
    </row>
    <row r="111" spans="1:19" ht="13.95" customHeight="1">
      <c r="A111" s="1072"/>
      <c r="B111" s="1075"/>
      <c r="C111" s="1078"/>
      <c r="D111" s="1080"/>
      <c r="E111" s="1043"/>
      <c r="F111" s="274" t="s">
        <v>24</v>
      </c>
      <c r="G111" s="312"/>
      <c r="H111" s="1047"/>
      <c r="I111" s="1048"/>
      <c r="K111" s="675"/>
      <c r="L111" s="671">
        <f>L110*90%</f>
        <v>5045.3973000000005</v>
      </c>
      <c r="M111" s="668"/>
      <c r="N111" s="697"/>
      <c r="O111" s="657"/>
      <c r="P111" s="654"/>
      <c r="Q111" s="654"/>
      <c r="R111" s="654"/>
      <c r="S111" s="654"/>
    </row>
    <row r="112" spans="1:19" ht="13.95" customHeight="1">
      <c r="A112" s="1072"/>
      <c r="B112" s="1075"/>
      <c r="C112" s="1081" t="s">
        <v>215</v>
      </c>
      <c r="D112" s="1082">
        <v>2480</v>
      </c>
      <c r="E112" s="1043"/>
      <c r="F112" s="274" t="s">
        <v>10</v>
      </c>
      <c r="G112" s="275">
        <f>ROUND(G110*90%,5)</f>
        <v>2976.7843400000002</v>
      </c>
      <c r="H112" s="1047"/>
      <c r="I112" s="1048"/>
      <c r="K112" s="675"/>
      <c r="L112" s="671">
        <f>L110-L111</f>
        <v>560.59969999999976</v>
      </c>
      <c r="M112" s="668"/>
      <c r="N112" s="697"/>
      <c r="O112" s="657"/>
      <c r="P112" s="654"/>
      <c r="Q112" s="654"/>
      <c r="R112" s="654"/>
      <c r="S112" s="654"/>
    </row>
    <row r="113" spans="1:19" ht="13.95" customHeight="1">
      <c r="A113" s="1073"/>
      <c r="B113" s="1076"/>
      <c r="C113" s="1078"/>
      <c r="D113" s="1080"/>
      <c r="E113" s="1044"/>
      <c r="F113" s="274" t="s">
        <v>11</v>
      </c>
      <c r="G113" s="312">
        <f>G110-G112</f>
        <v>330.75381999999991</v>
      </c>
      <c r="H113" s="1049"/>
      <c r="I113" s="1050"/>
      <c r="K113" s="675"/>
      <c r="L113" s="671"/>
      <c r="M113" s="668"/>
      <c r="N113" s="697"/>
      <c r="O113" s="657"/>
      <c r="P113" s="654"/>
      <c r="Q113" s="654"/>
      <c r="R113" s="654"/>
      <c r="S113" s="654"/>
    </row>
    <row r="114" spans="1:19" ht="13.95" customHeight="1">
      <c r="A114" s="1083" t="s">
        <v>859</v>
      </c>
      <c r="B114" s="1074" t="s">
        <v>865</v>
      </c>
      <c r="C114" s="1077" t="s">
        <v>131</v>
      </c>
      <c r="D114" s="1079">
        <v>428</v>
      </c>
      <c r="E114" s="1043" t="s">
        <v>562</v>
      </c>
      <c r="F114" s="695" t="s">
        <v>4</v>
      </c>
      <c r="G114" s="696">
        <v>1194.4794899999999</v>
      </c>
      <c r="H114" s="1047" t="s">
        <v>84</v>
      </c>
      <c r="I114" s="1048"/>
      <c r="K114" s="675">
        <v>7000</v>
      </c>
      <c r="L114" s="668">
        <v>2171.7809999999999</v>
      </c>
      <c r="M114" s="668"/>
      <c r="N114" s="697"/>
      <c r="O114" s="657"/>
      <c r="P114" s="654"/>
      <c r="Q114" s="654"/>
      <c r="R114" s="654"/>
      <c r="S114" s="654"/>
    </row>
    <row r="115" spans="1:19" ht="13.95" customHeight="1">
      <c r="A115" s="1083"/>
      <c r="B115" s="1075"/>
      <c r="C115" s="1078"/>
      <c r="D115" s="1080"/>
      <c r="E115" s="1043"/>
      <c r="F115" s="274" t="s">
        <v>24</v>
      </c>
      <c r="G115" s="312"/>
      <c r="H115" s="1047"/>
      <c r="I115" s="1048"/>
      <c r="K115" s="675">
        <f>G112+G116</f>
        <v>4051.8158800000001</v>
      </c>
      <c r="L115" s="671">
        <f>L114*90%</f>
        <v>1954.6029000000001</v>
      </c>
      <c r="M115" s="668"/>
      <c r="N115" s="697"/>
      <c r="O115" s="657"/>
      <c r="P115" s="654"/>
      <c r="Q115" s="654"/>
      <c r="R115" s="654"/>
      <c r="S115" s="654"/>
    </row>
    <row r="116" spans="1:19" ht="13.95" customHeight="1">
      <c r="A116" s="1083"/>
      <c r="B116" s="1075"/>
      <c r="C116" s="1081" t="s">
        <v>215</v>
      </c>
      <c r="D116" s="1082">
        <v>3000</v>
      </c>
      <c r="E116" s="1043"/>
      <c r="F116" s="274" t="s">
        <v>10</v>
      </c>
      <c r="G116" s="275">
        <f>ROUND(G114*90%,5)</f>
        <v>1075.0315399999999</v>
      </c>
      <c r="H116" s="1047"/>
      <c r="I116" s="1048"/>
      <c r="K116" s="675">
        <f>K114-K115</f>
        <v>2948.1841199999999</v>
      </c>
      <c r="L116" s="671">
        <f>L114-L115</f>
        <v>217.17809999999986</v>
      </c>
      <c r="M116" s="668"/>
      <c r="N116" s="697"/>
      <c r="O116" s="657"/>
      <c r="P116" s="654"/>
      <c r="Q116" s="654"/>
      <c r="R116" s="654"/>
      <c r="S116" s="654"/>
    </row>
    <row r="117" spans="1:19" ht="13.95" customHeight="1" thickBot="1">
      <c r="A117" s="1084"/>
      <c r="B117" s="1076"/>
      <c r="C117" s="1078"/>
      <c r="D117" s="1080"/>
      <c r="E117" s="1044"/>
      <c r="F117" s="274" t="s">
        <v>11</v>
      </c>
      <c r="G117" s="312">
        <f>G114-G116</f>
        <v>119.44794999999999</v>
      </c>
      <c r="H117" s="1049"/>
      <c r="I117" s="1050"/>
      <c r="K117" s="675"/>
      <c r="L117" s="671"/>
      <c r="M117" s="668"/>
      <c r="N117" s="697"/>
      <c r="O117" s="657"/>
      <c r="P117" s="654"/>
      <c r="Q117" s="654"/>
      <c r="R117" s="654"/>
      <c r="S117" s="654"/>
    </row>
    <row r="118" spans="1:19" ht="13.95" customHeight="1">
      <c r="A118" s="1072" t="s">
        <v>917</v>
      </c>
      <c r="B118" s="1074" t="s">
        <v>919</v>
      </c>
      <c r="C118" s="1077" t="s">
        <v>131</v>
      </c>
      <c r="D118" s="1079">
        <v>737</v>
      </c>
      <c r="E118" s="1043" t="s">
        <v>562</v>
      </c>
      <c r="F118" s="695" t="s">
        <v>4</v>
      </c>
      <c r="G118" s="696">
        <v>585.65943000000004</v>
      </c>
      <c r="H118" s="1047" t="s">
        <v>84</v>
      </c>
      <c r="I118" s="1048"/>
      <c r="K118" s="675"/>
      <c r="L118" s="668"/>
      <c r="M118" s="668"/>
      <c r="N118" s="697"/>
      <c r="O118" s="657"/>
      <c r="P118" s="654"/>
      <c r="Q118" s="654"/>
      <c r="R118" s="654"/>
      <c r="S118" s="654"/>
    </row>
    <row r="119" spans="1:19" ht="13.95" customHeight="1">
      <c r="A119" s="1072"/>
      <c r="B119" s="1075"/>
      <c r="C119" s="1078"/>
      <c r="D119" s="1080"/>
      <c r="E119" s="1043"/>
      <c r="F119" s="274" t="s">
        <v>24</v>
      </c>
      <c r="G119" s="312"/>
      <c r="H119" s="1047"/>
      <c r="I119" s="1048"/>
      <c r="K119" s="675"/>
      <c r="L119" s="671"/>
      <c r="M119" s="668"/>
      <c r="N119" s="697"/>
      <c r="O119" s="657"/>
      <c r="P119" s="654"/>
      <c r="Q119" s="654"/>
      <c r="R119" s="654"/>
      <c r="S119" s="654"/>
    </row>
    <row r="120" spans="1:19" ht="13.95" customHeight="1">
      <c r="A120" s="1072"/>
      <c r="B120" s="1075"/>
      <c r="C120" s="1081" t="s">
        <v>215</v>
      </c>
      <c r="D120" s="1082">
        <v>5160</v>
      </c>
      <c r="E120" s="1043"/>
      <c r="F120" s="274" t="s">
        <v>10</v>
      </c>
      <c r="G120" s="275">
        <f>ROUND(G118*90%,5)</f>
        <v>527.09348999999997</v>
      </c>
      <c r="H120" s="1047"/>
      <c r="I120" s="1048"/>
      <c r="K120" s="675"/>
      <c r="L120" s="671"/>
      <c r="M120" s="668"/>
      <c r="N120" s="697"/>
      <c r="O120" s="657"/>
      <c r="P120" s="654"/>
      <c r="Q120" s="654"/>
      <c r="R120" s="654"/>
      <c r="S120" s="654"/>
    </row>
    <row r="121" spans="1:19" ht="13.95" customHeight="1">
      <c r="A121" s="1073"/>
      <c r="B121" s="1076"/>
      <c r="C121" s="1078"/>
      <c r="D121" s="1080"/>
      <c r="E121" s="1044"/>
      <c r="F121" s="274" t="s">
        <v>11</v>
      </c>
      <c r="G121" s="312">
        <f>G118-G120</f>
        <v>58.565940000000069</v>
      </c>
      <c r="H121" s="1049"/>
      <c r="I121" s="1050"/>
      <c r="K121" s="675"/>
      <c r="L121" s="671"/>
      <c r="M121" s="668"/>
      <c r="N121" s="697"/>
      <c r="O121" s="657"/>
      <c r="P121" s="654"/>
      <c r="Q121" s="654"/>
      <c r="R121" s="654"/>
      <c r="S121" s="654"/>
    </row>
    <row r="122" spans="1:19" ht="13.95" customHeight="1">
      <c r="A122" s="1083" t="s">
        <v>925</v>
      </c>
      <c r="B122" s="1074" t="s">
        <v>920</v>
      </c>
      <c r="C122" s="1077" t="s">
        <v>131</v>
      </c>
      <c r="D122" s="1079">
        <v>584</v>
      </c>
      <c r="E122" s="1043" t="s">
        <v>562</v>
      </c>
      <c r="F122" s="695" t="s">
        <v>4</v>
      </c>
      <c r="G122" s="696">
        <v>464.09676000000002</v>
      </c>
      <c r="H122" s="1047" t="s">
        <v>84</v>
      </c>
      <c r="I122" s="1048"/>
      <c r="K122" s="675"/>
      <c r="L122" s="668"/>
      <c r="M122" s="668"/>
      <c r="N122" s="697"/>
      <c r="O122" s="657"/>
      <c r="P122" s="654"/>
      <c r="Q122" s="654"/>
      <c r="R122" s="654"/>
      <c r="S122" s="654"/>
    </row>
    <row r="123" spans="1:19" ht="13.95" customHeight="1">
      <c r="A123" s="1083"/>
      <c r="B123" s="1075"/>
      <c r="C123" s="1078"/>
      <c r="D123" s="1080"/>
      <c r="E123" s="1043"/>
      <c r="F123" s="274" t="s">
        <v>24</v>
      </c>
      <c r="G123" s="312"/>
      <c r="H123" s="1047"/>
      <c r="I123" s="1048"/>
      <c r="K123" s="675"/>
      <c r="L123" s="671"/>
      <c r="M123" s="668"/>
      <c r="N123" s="697"/>
      <c r="O123" s="657"/>
      <c r="P123" s="654"/>
      <c r="Q123" s="654"/>
      <c r="R123" s="654"/>
      <c r="S123" s="654"/>
    </row>
    <row r="124" spans="1:19" ht="13.95" customHeight="1">
      <c r="A124" s="1083"/>
      <c r="B124" s="1075"/>
      <c r="C124" s="1081" t="s">
        <v>215</v>
      </c>
      <c r="D124" s="1082">
        <v>4090</v>
      </c>
      <c r="E124" s="1043"/>
      <c r="F124" s="274" t="s">
        <v>10</v>
      </c>
      <c r="G124" s="275">
        <f>ROUND(G122*90%,5)</f>
        <v>417.68707999999998</v>
      </c>
      <c r="H124" s="1047"/>
      <c r="I124" s="1048"/>
      <c r="K124" s="675"/>
      <c r="L124" s="671"/>
      <c r="M124" s="668"/>
      <c r="N124" s="697"/>
      <c r="O124" s="657"/>
      <c r="P124" s="654"/>
      <c r="Q124" s="654"/>
      <c r="R124" s="654"/>
      <c r="S124" s="654"/>
    </row>
    <row r="125" spans="1:19" ht="13.95" customHeight="1" thickBot="1">
      <c r="A125" s="1084"/>
      <c r="B125" s="1076"/>
      <c r="C125" s="1078"/>
      <c r="D125" s="1080"/>
      <c r="E125" s="1044"/>
      <c r="F125" s="274" t="s">
        <v>11</v>
      </c>
      <c r="G125" s="312">
        <f>G122-G124</f>
        <v>46.409680000000037</v>
      </c>
      <c r="H125" s="1049"/>
      <c r="I125" s="1050"/>
      <c r="K125" s="675"/>
      <c r="L125" s="671"/>
      <c r="M125" s="668"/>
      <c r="N125" s="697"/>
      <c r="O125" s="657"/>
      <c r="P125" s="654"/>
      <c r="Q125" s="654"/>
      <c r="R125" s="654"/>
      <c r="S125" s="654"/>
    </row>
    <row r="126" spans="1:19" ht="13.95" customHeight="1">
      <c r="A126" s="1072" t="s">
        <v>926</v>
      </c>
      <c r="B126" s="1074" t="s">
        <v>921</v>
      </c>
      <c r="C126" s="1077" t="s">
        <v>131</v>
      </c>
      <c r="D126" s="1079">
        <v>728</v>
      </c>
      <c r="E126" s="1043" t="s">
        <v>562</v>
      </c>
      <c r="F126" s="695" t="s">
        <v>4</v>
      </c>
      <c r="G126" s="696">
        <v>579.07005000000004</v>
      </c>
      <c r="H126" s="1047" t="s">
        <v>84</v>
      </c>
      <c r="I126" s="1048"/>
      <c r="K126" s="675"/>
      <c r="L126" s="668"/>
      <c r="M126" s="668"/>
      <c r="N126" s="697"/>
      <c r="O126" s="657"/>
      <c r="P126" s="654"/>
      <c r="Q126" s="654"/>
      <c r="R126" s="654"/>
      <c r="S126" s="654"/>
    </row>
    <row r="127" spans="1:19" ht="13.95" customHeight="1">
      <c r="A127" s="1072"/>
      <c r="B127" s="1075"/>
      <c r="C127" s="1078"/>
      <c r="D127" s="1080"/>
      <c r="E127" s="1043"/>
      <c r="F127" s="274" t="s">
        <v>24</v>
      </c>
      <c r="G127" s="312"/>
      <c r="H127" s="1047"/>
      <c r="I127" s="1048"/>
      <c r="K127" s="675"/>
      <c r="L127" s="671"/>
      <c r="M127" s="668"/>
      <c r="N127" s="697"/>
      <c r="O127" s="657"/>
      <c r="P127" s="654"/>
      <c r="Q127" s="654"/>
      <c r="R127" s="654"/>
      <c r="S127" s="654"/>
    </row>
    <row r="128" spans="1:19" ht="13.95" customHeight="1">
      <c r="A128" s="1072"/>
      <c r="B128" s="1075"/>
      <c r="C128" s="1081" t="s">
        <v>215</v>
      </c>
      <c r="D128" s="1082">
        <v>5100</v>
      </c>
      <c r="E128" s="1043"/>
      <c r="F128" s="274" t="s">
        <v>10</v>
      </c>
      <c r="G128" s="275">
        <f>ROUND(G126*90%,5)</f>
        <v>521.16305</v>
      </c>
      <c r="H128" s="1047"/>
      <c r="I128" s="1048"/>
      <c r="K128" s="675"/>
      <c r="L128" s="671"/>
      <c r="M128" s="668"/>
      <c r="N128" s="697"/>
      <c r="O128" s="657"/>
      <c r="P128" s="654"/>
      <c r="Q128" s="654"/>
      <c r="R128" s="654"/>
      <c r="S128" s="654"/>
    </row>
    <row r="129" spans="1:19" ht="13.95" customHeight="1">
      <c r="A129" s="1073"/>
      <c r="B129" s="1076"/>
      <c r="C129" s="1078"/>
      <c r="D129" s="1080"/>
      <c r="E129" s="1044"/>
      <c r="F129" s="274" t="s">
        <v>11</v>
      </c>
      <c r="G129" s="312">
        <f>G126-G128</f>
        <v>57.907000000000039</v>
      </c>
      <c r="H129" s="1049"/>
      <c r="I129" s="1050"/>
      <c r="K129" s="675"/>
      <c r="L129" s="671"/>
      <c r="M129" s="668"/>
      <c r="N129" s="697"/>
      <c r="O129" s="657"/>
      <c r="P129" s="654"/>
      <c r="Q129" s="654"/>
      <c r="R129" s="654"/>
      <c r="S129" s="654"/>
    </row>
    <row r="130" spans="1:19" ht="13.95" customHeight="1">
      <c r="A130" s="1083" t="s">
        <v>927</v>
      </c>
      <c r="B130" s="1074" t="s">
        <v>922</v>
      </c>
      <c r="C130" s="1077" t="s">
        <v>131</v>
      </c>
      <c r="D130" s="1079">
        <v>648</v>
      </c>
      <c r="E130" s="1043" t="s">
        <v>562</v>
      </c>
      <c r="F130" s="695" t="s">
        <v>4</v>
      </c>
      <c r="G130" s="696">
        <v>515.56208000000004</v>
      </c>
      <c r="H130" s="1047" t="s">
        <v>84</v>
      </c>
      <c r="I130" s="1048"/>
      <c r="K130" s="675"/>
      <c r="L130" s="668"/>
      <c r="M130" s="668"/>
      <c r="N130" s="697"/>
      <c r="O130" s="657"/>
      <c r="P130" s="654"/>
      <c r="Q130" s="654"/>
      <c r="R130" s="654"/>
      <c r="S130" s="654"/>
    </row>
    <row r="131" spans="1:19" ht="13.95" customHeight="1">
      <c r="A131" s="1083"/>
      <c r="B131" s="1075"/>
      <c r="C131" s="1078"/>
      <c r="D131" s="1080"/>
      <c r="E131" s="1043"/>
      <c r="F131" s="274" t="s">
        <v>24</v>
      </c>
      <c r="G131" s="312"/>
      <c r="H131" s="1047"/>
      <c r="I131" s="1048"/>
      <c r="K131" s="675"/>
      <c r="L131" s="671"/>
      <c r="M131" s="668"/>
      <c r="N131" s="697"/>
      <c r="O131" s="657"/>
      <c r="P131" s="654"/>
      <c r="Q131" s="654"/>
      <c r="R131" s="654"/>
      <c r="S131" s="654"/>
    </row>
    <row r="132" spans="1:19" ht="13.95" customHeight="1">
      <c r="A132" s="1083"/>
      <c r="B132" s="1075"/>
      <c r="C132" s="1081" t="s">
        <v>215</v>
      </c>
      <c r="D132" s="1082">
        <v>4540</v>
      </c>
      <c r="E132" s="1043"/>
      <c r="F132" s="274" t="s">
        <v>10</v>
      </c>
      <c r="G132" s="275">
        <f>ROUND(G130*90%,5)</f>
        <v>464.00587000000002</v>
      </c>
      <c r="H132" s="1047"/>
      <c r="I132" s="1048"/>
      <c r="K132" s="675"/>
      <c r="L132" s="671"/>
      <c r="M132" s="668"/>
      <c r="N132" s="697"/>
      <c r="O132" s="657"/>
      <c r="P132" s="654"/>
      <c r="Q132" s="654"/>
      <c r="R132" s="654"/>
      <c r="S132" s="654"/>
    </row>
    <row r="133" spans="1:19" ht="13.95" customHeight="1" thickBot="1">
      <c r="A133" s="1084"/>
      <c r="B133" s="1076"/>
      <c r="C133" s="1078"/>
      <c r="D133" s="1080"/>
      <c r="E133" s="1044"/>
      <c r="F133" s="274" t="s">
        <v>11</v>
      </c>
      <c r="G133" s="312">
        <f>G130-G132</f>
        <v>51.556210000000021</v>
      </c>
      <c r="H133" s="1049"/>
      <c r="I133" s="1050"/>
      <c r="K133" s="675"/>
      <c r="L133" s="671"/>
      <c r="M133" s="668"/>
      <c r="N133" s="697"/>
      <c r="O133" s="657"/>
      <c r="P133" s="654"/>
      <c r="Q133" s="654"/>
      <c r="R133" s="654"/>
      <c r="S133" s="654"/>
    </row>
    <row r="134" spans="1:19" ht="13.95" customHeight="1">
      <c r="A134" s="1072" t="s">
        <v>928</v>
      </c>
      <c r="B134" s="1074" t="s">
        <v>923</v>
      </c>
      <c r="C134" s="1077" t="s">
        <v>131</v>
      </c>
      <c r="D134" s="1079">
        <v>670</v>
      </c>
      <c r="E134" s="1043" t="s">
        <v>562</v>
      </c>
      <c r="F134" s="695" t="s">
        <v>4</v>
      </c>
      <c r="G134" s="696">
        <v>532.83078999999998</v>
      </c>
      <c r="H134" s="1047" t="s">
        <v>84</v>
      </c>
      <c r="I134" s="1048"/>
      <c r="K134" s="675"/>
      <c r="L134" s="668"/>
      <c r="M134" s="668"/>
      <c r="N134" s="697"/>
      <c r="O134" s="657"/>
      <c r="P134" s="654"/>
      <c r="Q134" s="654"/>
      <c r="R134" s="654"/>
      <c r="S134" s="654"/>
    </row>
    <row r="135" spans="1:19" ht="11.4" customHeight="1">
      <c r="A135" s="1072"/>
      <c r="B135" s="1075"/>
      <c r="C135" s="1078"/>
      <c r="D135" s="1080"/>
      <c r="E135" s="1043"/>
      <c r="F135" s="274" t="s">
        <v>24</v>
      </c>
      <c r="G135" s="312"/>
      <c r="H135" s="1047"/>
      <c r="I135" s="1048"/>
      <c r="K135" s="675"/>
      <c r="L135" s="671"/>
      <c r="M135" s="668"/>
      <c r="N135" s="697"/>
      <c r="O135" s="657"/>
      <c r="P135" s="654"/>
      <c r="Q135" s="654"/>
      <c r="R135" s="654"/>
      <c r="S135" s="654"/>
    </row>
    <row r="136" spans="1:19" ht="13.95" customHeight="1">
      <c r="A136" s="1072"/>
      <c r="B136" s="1075"/>
      <c r="C136" s="1081" t="s">
        <v>215</v>
      </c>
      <c r="D136" s="1082">
        <v>4690</v>
      </c>
      <c r="E136" s="1043"/>
      <c r="F136" s="274" t="s">
        <v>10</v>
      </c>
      <c r="G136" s="275">
        <f>ROUND(G134*90%,5)</f>
        <v>479.54771</v>
      </c>
      <c r="H136" s="1047"/>
      <c r="I136" s="1048"/>
      <c r="K136" s="675"/>
      <c r="L136" s="671"/>
      <c r="M136" s="668"/>
      <c r="N136" s="697"/>
      <c r="O136" s="657"/>
      <c r="P136" s="654"/>
      <c r="Q136" s="654"/>
      <c r="R136" s="654"/>
      <c r="S136" s="654"/>
    </row>
    <row r="137" spans="1:19" ht="13.95" customHeight="1">
      <c r="A137" s="1073"/>
      <c r="B137" s="1076"/>
      <c r="C137" s="1078"/>
      <c r="D137" s="1080"/>
      <c r="E137" s="1044"/>
      <c r="F137" s="274" t="s">
        <v>11</v>
      </c>
      <c r="G137" s="312">
        <f>G134-G136</f>
        <v>53.283079999999984</v>
      </c>
      <c r="H137" s="1049"/>
      <c r="I137" s="1050"/>
      <c r="K137" s="675"/>
      <c r="L137" s="671"/>
      <c r="M137" s="668"/>
      <c r="N137" s="697"/>
      <c r="O137" s="657"/>
      <c r="P137" s="654"/>
      <c r="Q137" s="654"/>
      <c r="R137" s="654"/>
      <c r="S137" s="654"/>
    </row>
    <row r="138" spans="1:19" ht="12" customHeight="1">
      <c r="A138" s="1083" t="s">
        <v>929</v>
      </c>
      <c r="B138" s="1074" t="s">
        <v>924</v>
      </c>
      <c r="C138" s="1077" t="s">
        <v>131</v>
      </c>
      <c r="D138" s="1079">
        <v>752</v>
      </c>
      <c r="E138" s="1043" t="s">
        <v>562</v>
      </c>
      <c r="F138" s="695" t="s">
        <v>4</v>
      </c>
      <c r="G138" s="696">
        <v>598.72457999999995</v>
      </c>
      <c r="H138" s="1047" t="s">
        <v>84</v>
      </c>
      <c r="I138" s="1048"/>
      <c r="K138" s="675"/>
      <c r="L138" s="668"/>
      <c r="M138" s="668"/>
      <c r="N138" s="697"/>
      <c r="O138" s="657"/>
      <c r="P138" s="654"/>
      <c r="Q138" s="654"/>
      <c r="R138" s="654"/>
      <c r="S138" s="654"/>
    </row>
    <row r="139" spans="1:19" ht="12" customHeight="1">
      <c r="A139" s="1083"/>
      <c r="B139" s="1075"/>
      <c r="C139" s="1078"/>
      <c r="D139" s="1080"/>
      <c r="E139" s="1043"/>
      <c r="F139" s="274" t="s">
        <v>24</v>
      </c>
      <c r="G139" s="312"/>
      <c r="H139" s="1047"/>
      <c r="I139" s="1048"/>
      <c r="K139" s="675"/>
      <c r="L139" s="671"/>
      <c r="M139" s="668"/>
      <c r="N139" s="697"/>
      <c r="O139" s="657"/>
      <c r="P139" s="654"/>
      <c r="Q139" s="654"/>
      <c r="R139" s="654"/>
      <c r="S139" s="654"/>
    </row>
    <row r="140" spans="1:19" ht="12" customHeight="1">
      <c r="A140" s="1083"/>
      <c r="B140" s="1075"/>
      <c r="C140" s="1081" t="s">
        <v>215</v>
      </c>
      <c r="D140" s="1082">
        <v>5270</v>
      </c>
      <c r="E140" s="1043"/>
      <c r="F140" s="274" t="s">
        <v>10</v>
      </c>
      <c r="G140" s="275">
        <v>538.68691999999999</v>
      </c>
      <c r="H140" s="1047"/>
      <c r="I140" s="1048"/>
      <c r="K140" s="675"/>
      <c r="L140" s="671"/>
      <c r="M140" s="668"/>
      <c r="N140" s="697"/>
      <c r="O140" s="657"/>
      <c r="P140" s="654"/>
      <c r="Q140" s="654"/>
      <c r="R140" s="654"/>
      <c r="S140" s="654"/>
    </row>
    <row r="141" spans="1:19" ht="12" customHeight="1" thickBot="1">
      <c r="A141" s="1084"/>
      <c r="B141" s="1076"/>
      <c r="C141" s="1078"/>
      <c r="D141" s="1080"/>
      <c r="E141" s="1044"/>
      <c r="F141" s="274" t="s">
        <v>11</v>
      </c>
      <c r="G141" s="312">
        <f>G138-G140</f>
        <v>60.03765999999996</v>
      </c>
      <c r="H141" s="1049"/>
      <c r="I141" s="1050"/>
      <c r="K141" s="675"/>
      <c r="L141" s="671"/>
      <c r="M141" s="668"/>
      <c r="N141" s="697"/>
      <c r="O141" s="657"/>
      <c r="P141" s="654"/>
      <c r="Q141" s="654"/>
      <c r="R141" s="654"/>
      <c r="S141" s="654"/>
    </row>
    <row r="142" spans="1:19" ht="12" customHeight="1">
      <c r="A142" s="1072" t="s">
        <v>930</v>
      </c>
      <c r="B142" s="1074" t="s">
        <v>918</v>
      </c>
      <c r="C142" s="1077" t="s">
        <v>131</v>
      </c>
      <c r="D142" s="1079">
        <v>37</v>
      </c>
      <c r="E142" s="1043" t="s">
        <v>562</v>
      </c>
      <c r="F142" s="695" t="s">
        <v>4</v>
      </c>
      <c r="G142" s="696">
        <f>G143+G144+G145</f>
        <v>901.61383999999998</v>
      </c>
      <c r="H142" s="1047" t="s">
        <v>84</v>
      </c>
      <c r="I142" s="1048"/>
      <c r="K142" s="675"/>
      <c r="L142" s="668"/>
      <c r="M142" s="668"/>
      <c r="N142" s="697"/>
      <c r="O142" s="657"/>
      <c r="P142" s="654"/>
      <c r="Q142" s="654"/>
      <c r="R142" s="654"/>
      <c r="S142" s="654"/>
    </row>
    <row r="143" spans="1:19" ht="12" customHeight="1">
      <c r="A143" s="1072"/>
      <c r="B143" s="1075"/>
      <c r="C143" s="1078"/>
      <c r="D143" s="1080"/>
      <c r="E143" s="1043"/>
      <c r="F143" s="274" t="s">
        <v>24</v>
      </c>
      <c r="G143" s="312"/>
      <c r="H143" s="1047"/>
      <c r="I143" s="1048"/>
      <c r="K143" s="675"/>
      <c r="L143" s="671"/>
      <c r="M143" s="668"/>
      <c r="N143" s="697"/>
      <c r="O143" s="657"/>
      <c r="P143" s="654"/>
      <c r="Q143" s="654"/>
      <c r="R143" s="654"/>
      <c r="S143" s="654"/>
    </row>
    <row r="144" spans="1:19" ht="12" customHeight="1">
      <c r="A144" s="1072"/>
      <c r="B144" s="1075"/>
      <c r="C144" s="1081" t="s">
        <v>215</v>
      </c>
      <c r="D144" s="1082">
        <v>260</v>
      </c>
      <c r="E144" s="1043"/>
      <c r="F144" s="274" t="s">
        <v>10</v>
      </c>
      <c r="G144" s="275"/>
      <c r="H144" s="1047"/>
      <c r="I144" s="1048"/>
      <c r="K144" s="675"/>
      <c r="L144" s="671"/>
      <c r="M144" s="668"/>
      <c r="N144" s="697"/>
      <c r="O144" s="657"/>
      <c r="P144" s="654"/>
      <c r="Q144" s="654"/>
      <c r="R144" s="654"/>
      <c r="S144" s="654"/>
    </row>
    <row r="145" spans="1:19" ht="15.6" customHeight="1">
      <c r="A145" s="1073"/>
      <c r="B145" s="1076"/>
      <c r="C145" s="1078"/>
      <c r="D145" s="1080"/>
      <c r="E145" s="1044"/>
      <c r="F145" s="274" t="s">
        <v>11</v>
      </c>
      <c r="G145" s="312">
        <f>488.176+411.647+1.79084</f>
        <v>901.61383999999998</v>
      </c>
      <c r="H145" s="1049"/>
      <c r="I145" s="1050"/>
      <c r="K145" s="675"/>
      <c r="L145" s="671"/>
      <c r="M145" s="668"/>
      <c r="N145" s="697"/>
      <c r="O145" s="657"/>
      <c r="P145" s="654"/>
      <c r="Q145" s="654"/>
      <c r="R145" s="654"/>
      <c r="S145" s="654"/>
    </row>
    <row r="146" spans="1:19" ht="12" hidden="1" customHeight="1">
      <c r="A146" s="1072"/>
      <c r="B146" s="1074"/>
      <c r="C146" s="1077" t="s">
        <v>131</v>
      </c>
      <c r="D146" s="1079"/>
      <c r="E146" s="1043" t="s">
        <v>562</v>
      </c>
      <c r="F146" s="695" t="s">
        <v>4</v>
      </c>
      <c r="G146" s="696">
        <f>G147+G148+G149</f>
        <v>0</v>
      </c>
      <c r="H146" s="1047" t="s">
        <v>84</v>
      </c>
      <c r="I146" s="1048"/>
      <c r="K146" s="675"/>
      <c r="L146" s="668"/>
      <c r="M146" s="668"/>
      <c r="N146" s="697"/>
      <c r="O146" s="657"/>
      <c r="P146" s="654"/>
      <c r="Q146" s="654"/>
      <c r="R146" s="654"/>
      <c r="S146" s="654"/>
    </row>
    <row r="147" spans="1:19" ht="12" hidden="1" customHeight="1">
      <c r="A147" s="1072"/>
      <c r="B147" s="1075"/>
      <c r="C147" s="1078"/>
      <c r="D147" s="1080"/>
      <c r="E147" s="1043"/>
      <c r="F147" s="274" t="s">
        <v>24</v>
      </c>
      <c r="G147" s="312"/>
      <c r="H147" s="1047"/>
      <c r="I147" s="1048"/>
      <c r="K147" s="675"/>
      <c r="L147" s="671"/>
      <c r="M147" s="668"/>
      <c r="N147" s="697"/>
      <c r="O147" s="657"/>
      <c r="P147" s="654"/>
      <c r="Q147" s="654"/>
      <c r="R147" s="654"/>
      <c r="S147" s="654"/>
    </row>
    <row r="148" spans="1:19" ht="12" hidden="1" customHeight="1">
      <c r="A148" s="1072"/>
      <c r="B148" s="1075"/>
      <c r="C148" s="1081" t="s">
        <v>215</v>
      </c>
      <c r="D148" s="1082"/>
      <c r="E148" s="1043"/>
      <c r="F148" s="274" t="s">
        <v>10</v>
      </c>
      <c r="G148" s="275"/>
      <c r="H148" s="1047"/>
      <c r="I148" s="1048"/>
      <c r="K148" s="675"/>
      <c r="L148" s="671"/>
      <c r="M148" s="668"/>
      <c r="N148" s="697"/>
      <c r="O148" s="657"/>
      <c r="P148" s="654"/>
      <c r="Q148" s="654"/>
      <c r="R148" s="654"/>
      <c r="S148" s="654"/>
    </row>
    <row r="149" spans="1:19" ht="12" hidden="1" customHeight="1">
      <c r="A149" s="1073"/>
      <c r="B149" s="1076"/>
      <c r="C149" s="1078"/>
      <c r="D149" s="1080"/>
      <c r="E149" s="1044"/>
      <c r="F149" s="274" t="s">
        <v>11</v>
      </c>
      <c r="G149" s="312"/>
      <c r="H149" s="1049"/>
      <c r="I149" s="1050"/>
      <c r="K149" s="675"/>
      <c r="L149" s="671"/>
      <c r="M149" s="668"/>
      <c r="N149" s="697"/>
      <c r="O149" s="657"/>
      <c r="P149" s="654"/>
      <c r="Q149" s="654"/>
      <c r="R149" s="654"/>
      <c r="S149" s="654"/>
    </row>
    <row r="150" spans="1:19" ht="13.2" customHeight="1">
      <c r="A150" s="1164" t="s">
        <v>107</v>
      </c>
      <c r="B150" s="1148" t="s">
        <v>585</v>
      </c>
      <c r="C150" s="1061" t="s">
        <v>131</v>
      </c>
      <c r="D150" s="1162">
        <f>D154+D158+D162+D166+D170+D174+D178++D182+D186+D190+D194+D198+D202</f>
        <v>2275</v>
      </c>
      <c r="E150" s="1042" t="s">
        <v>562</v>
      </c>
      <c r="F150" s="266" t="s">
        <v>4</v>
      </c>
      <c r="G150" s="270">
        <f>G151+G152+G153</f>
        <v>55375.64</v>
      </c>
      <c r="H150" s="1045" t="s">
        <v>84</v>
      </c>
      <c r="I150" s="1046"/>
      <c r="K150" s="662">
        <f>G110+G114</f>
        <v>4502.0176499999998</v>
      </c>
      <c r="L150" s="698">
        <f>L151+L152+L153</f>
        <v>55375.64</v>
      </c>
      <c r="M150" s="662"/>
      <c r="N150" s="667">
        <f>G150-L150</f>
        <v>0</v>
      </c>
      <c r="O150" s="657"/>
      <c r="P150" s="654"/>
      <c r="Q150" s="654"/>
      <c r="R150" s="654"/>
      <c r="S150" s="654"/>
    </row>
    <row r="151" spans="1:19" ht="13.2" customHeight="1">
      <c r="A151" s="1165"/>
      <c r="B151" s="1149"/>
      <c r="C151" s="1063"/>
      <c r="D151" s="1163"/>
      <c r="E151" s="1043"/>
      <c r="F151" s="274" t="s">
        <v>24</v>
      </c>
      <c r="G151" s="272">
        <f>G155+G159+G163+G167+G171+G175+G179+G183+G187+G191+G195+G199+G203</f>
        <v>49860.586409999996</v>
      </c>
      <c r="H151" s="1047"/>
      <c r="I151" s="1048"/>
      <c r="K151" s="654"/>
      <c r="L151" s="699">
        <f>L155+L159+L163+L167+L171+L175+L179+L183+L187+L191+L195+L199+L203</f>
        <v>49860.586429999996</v>
      </c>
      <c r="M151" s="662"/>
      <c r="N151" s="669">
        <f>G151-L151</f>
        <v>-1.9999999494757503E-5</v>
      </c>
      <c r="O151" s="657"/>
      <c r="P151" s="654"/>
      <c r="Q151" s="654"/>
      <c r="R151" s="654"/>
      <c r="S151" s="654"/>
    </row>
    <row r="152" spans="1:19" ht="13.2" customHeight="1">
      <c r="A152" s="1165"/>
      <c r="B152" s="1149"/>
      <c r="C152" s="1061" t="s">
        <v>215</v>
      </c>
      <c r="D152" s="1162">
        <f>D156+D160+D164+D168+D172+D176+D180++D184+D188+D192+D196+D200+D204</f>
        <v>19671.2</v>
      </c>
      <c r="E152" s="1043"/>
      <c r="F152" s="274" t="s">
        <v>10</v>
      </c>
      <c r="G152" s="272">
        <f>G156+G160+G164+G168+G172+G176+G180+G184+G188+G192+G196+G200+G204</f>
        <v>0</v>
      </c>
      <c r="H152" s="1047"/>
      <c r="I152" s="1048"/>
      <c r="K152" s="654"/>
      <c r="L152" s="699">
        <f>L156+L160+L164+L168+L172+L176+L180+L184+L188+L192+L196+L200+L204</f>
        <v>0</v>
      </c>
      <c r="M152" s="654"/>
      <c r="N152" s="669">
        <f>G152-L152</f>
        <v>0</v>
      </c>
      <c r="O152" s="657"/>
      <c r="P152" s="654"/>
      <c r="Q152" s="654"/>
      <c r="R152" s="654"/>
      <c r="S152" s="654"/>
    </row>
    <row r="153" spans="1:19" s="700" customFormat="1" ht="13.2" customHeight="1">
      <c r="A153" s="1166"/>
      <c r="B153" s="1167"/>
      <c r="C153" s="1063"/>
      <c r="D153" s="1163"/>
      <c r="E153" s="1044"/>
      <c r="F153" s="274" t="s">
        <v>11</v>
      </c>
      <c r="G153" s="272">
        <f>G157+G161+G165+G169+G173+G177+G181+G185+G189+G193+G197+G201+G205</f>
        <v>5515.0535900000032</v>
      </c>
      <c r="H153" s="1049"/>
      <c r="I153" s="1050"/>
      <c r="J153" s="254"/>
      <c r="K153" s="654"/>
      <c r="L153" s="699">
        <f>L157+L161+L165+L169+L173+L177+L181+L185+L189+L193+L197+L201+L205</f>
        <v>5515.0535700000028</v>
      </c>
      <c r="M153" s="654"/>
      <c r="N153" s="669">
        <f>G153-L153</f>
        <v>2.0000000404252205E-5</v>
      </c>
      <c r="O153" s="657"/>
      <c r="P153" s="654"/>
      <c r="Q153" s="654"/>
      <c r="R153" s="654"/>
      <c r="S153" s="654"/>
    </row>
    <row r="154" spans="1:19" s="700" customFormat="1" ht="12" customHeight="1">
      <c r="A154" s="1086" t="s">
        <v>108</v>
      </c>
      <c r="B154" s="1097" t="s">
        <v>589</v>
      </c>
      <c r="C154" s="1081" t="s">
        <v>131</v>
      </c>
      <c r="D154" s="1082" t="s">
        <v>590</v>
      </c>
      <c r="E154" s="1042" t="s">
        <v>562</v>
      </c>
      <c r="F154" s="266" t="s">
        <v>4</v>
      </c>
      <c r="G154" s="701">
        <v>2852.9749999999999</v>
      </c>
      <c r="H154" s="1045" t="s">
        <v>84</v>
      </c>
      <c r="I154" s="1046"/>
      <c r="J154" s="254"/>
      <c r="K154" s="654"/>
      <c r="L154" s="702">
        <v>2852.9749999999999</v>
      </c>
      <c r="M154" s="703"/>
      <c r="N154" s="656"/>
      <c r="O154" s="657"/>
      <c r="P154" s="654"/>
      <c r="Q154" s="654"/>
      <c r="R154" s="654"/>
      <c r="S154" s="654"/>
    </row>
    <row r="155" spans="1:19" s="700" customFormat="1" ht="12" customHeight="1">
      <c r="A155" s="1072"/>
      <c r="B155" s="1098"/>
      <c r="C155" s="1078"/>
      <c r="D155" s="1080"/>
      <c r="E155" s="1043"/>
      <c r="F155" s="274" t="s">
        <v>24</v>
      </c>
      <c r="G155" s="276">
        <f>ROUND(G154*90.0406504065%,5)</f>
        <v>2568.83725</v>
      </c>
      <c r="H155" s="1047"/>
      <c r="I155" s="1048"/>
      <c r="J155" s="254"/>
      <c r="K155" s="654"/>
      <c r="L155" s="675">
        <f>ROUND(L154*90.0406504065%,5)</f>
        <v>2568.83725</v>
      </c>
      <c r="M155" s="703"/>
      <c r="N155" s="656"/>
      <c r="O155" s="657"/>
      <c r="P155" s="654"/>
      <c r="Q155" s="654"/>
      <c r="R155" s="654"/>
      <c r="S155" s="654"/>
    </row>
    <row r="156" spans="1:19" s="700" customFormat="1" ht="12" customHeight="1">
      <c r="A156" s="1072"/>
      <c r="B156" s="1098"/>
      <c r="C156" s="1081" t="s">
        <v>215</v>
      </c>
      <c r="D156" s="1082">
        <v>893</v>
      </c>
      <c r="E156" s="1043"/>
      <c r="F156" s="274" t="s">
        <v>10</v>
      </c>
      <c r="G156" s="275"/>
      <c r="H156" s="1047"/>
      <c r="I156" s="1048"/>
      <c r="J156" s="254"/>
      <c r="K156" s="654"/>
      <c r="L156" s="676"/>
      <c r="M156" s="703"/>
      <c r="N156" s="656"/>
      <c r="O156" s="657"/>
      <c r="P156" s="654"/>
      <c r="Q156" s="654"/>
      <c r="R156" s="654"/>
      <c r="S156" s="654"/>
    </row>
    <row r="157" spans="1:19" s="700" customFormat="1" ht="12" customHeight="1">
      <c r="A157" s="1073"/>
      <c r="B157" s="1099"/>
      <c r="C157" s="1078"/>
      <c r="D157" s="1080"/>
      <c r="E157" s="1044"/>
      <c r="F157" s="274" t="s">
        <v>11</v>
      </c>
      <c r="G157" s="276">
        <f>G154-G155</f>
        <v>284.13774999999987</v>
      </c>
      <c r="H157" s="1049"/>
      <c r="I157" s="1050"/>
      <c r="J157" s="254"/>
      <c r="K157" s="654"/>
      <c r="L157" s="675">
        <f>L154-L155</f>
        <v>284.13774999999987</v>
      </c>
      <c r="M157" s="703"/>
      <c r="N157" s="656"/>
      <c r="O157" s="657"/>
      <c r="P157" s="654"/>
      <c r="Q157" s="654"/>
      <c r="R157" s="654"/>
      <c r="S157" s="654"/>
    </row>
    <row r="158" spans="1:19" s="700" customFormat="1" ht="12" customHeight="1">
      <c r="A158" s="1086" t="s">
        <v>109</v>
      </c>
      <c r="B158" s="1097" t="s">
        <v>591</v>
      </c>
      <c r="C158" s="1081" t="s">
        <v>131</v>
      </c>
      <c r="D158" s="1082" t="s">
        <v>594</v>
      </c>
      <c r="E158" s="1042" t="s">
        <v>562</v>
      </c>
      <c r="F158" s="266" t="s">
        <v>4</v>
      </c>
      <c r="G158" s="701">
        <v>5523.5280000000002</v>
      </c>
      <c r="H158" s="1045" t="s">
        <v>84</v>
      </c>
      <c r="I158" s="1046"/>
      <c r="J158" s="254"/>
      <c r="K158" s="654"/>
      <c r="L158" s="704">
        <v>5523.5280000000002</v>
      </c>
      <c r="M158" s="703"/>
      <c r="N158" s="669"/>
      <c r="O158" s="657"/>
      <c r="P158" s="654"/>
      <c r="Q158" s="654"/>
      <c r="R158" s="654"/>
      <c r="S158" s="654"/>
    </row>
    <row r="159" spans="1:19" s="700" customFormat="1" ht="12" customHeight="1">
      <c r="A159" s="1072"/>
      <c r="B159" s="1098"/>
      <c r="C159" s="1078"/>
      <c r="D159" s="1080"/>
      <c r="E159" s="1043"/>
      <c r="F159" s="274" t="s">
        <v>24</v>
      </c>
      <c r="G159" s="276">
        <f>ROUND(G158*90.0406504065%,5)</f>
        <v>4973.4205400000001</v>
      </c>
      <c r="H159" s="1047"/>
      <c r="I159" s="1048"/>
      <c r="J159" s="254"/>
      <c r="K159" s="654"/>
      <c r="L159" s="675">
        <f>ROUND(L158*90.0406504065%,5)</f>
        <v>4973.4205400000001</v>
      </c>
      <c r="M159" s="675"/>
      <c r="N159" s="669"/>
      <c r="O159" s="657"/>
      <c r="P159" s="654"/>
      <c r="Q159" s="654"/>
      <c r="R159" s="654"/>
      <c r="S159" s="654"/>
    </row>
    <row r="160" spans="1:19" s="700" customFormat="1" ht="12" customHeight="1">
      <c r="A160" s="1072"/>
      <c r="B160" s="1098"/>
      <c r="C160" s="1081" t="s">
        <v>215</v>
      </c>
      <c r="D160" s="1082">
        <v>1787</v>
      </c>
      <c r="E160" s="1043"/>
      <c r="F160" s="274" t="s">
        <v>10</v>
      </c>
      <c r="G160" s="275"/>
      <c r="H160" s="1047"/>
      <c r="I160" s="1048"/>
      <c r="J160" s="254"/>
      <c r="K160" s="654"/>
      <c r="L160" s="676"/>
      <c r="M160" s="676"/>
      <c r="N160" s="669"/>
      <c r="O160" s="657"/>
      <c r="P160" s="654"/>
      <c r="Q160" s="654"/>
      <c r="R160" s="654"/>
      <c r="S160" s="654"/>
    </row>
    <row r="161" spans="1:19" s="700" customFormat="1" ht="12" customHeight="1">
      <c r="A161" s="1073"/>
      <c r="B161" s="1099"/>
      <c r="C161" s="1078"/>
      <c r="D161" s="1080"/>
      <c r="E161" s="1044"/>
      <c r="F161" s="274" t="s">
        <v>11</v>
      </c>
      <c r="G161" s="276">
        <f>G158-G159</f>
        <v>550.10746000000017</v>
      </c>
      <c r="H161" s="1049"/>
      <c r="I161" s="1050"/>
      <c r="J161" s="254"/>
      <c r="K161" s="654"/>
      <c r="L161" s="675">
        <f>L158-L159</f>
        <v>550.10746000000017</v>
      </c>
      <c r="M161" s="675"/>
      <c r="N161" s="669"/>
      <c r="O161" s="657"/>
      <c r="P161" s="654"/>
      <c r="Q161" s="654"/>
      <c r="R161" s="654"/>
      <c r="S161" s="654"/>
    </row>
    <row r="162" spans="1:19" s="700" customFormat="1" ht="13.2" customHeight="1">
      <c r="A162" s="1086" t="s">
        <v>110</v>
      </c>
      <c r="B162" s="1097" t="s">
        <v>592</v>
      </c>
      <c r="C162" s="1081" t="s">
        <v>131</v>
      </c>
      <c r="D162" s="1082" t="s">
        <v>594</v>
      </c>
      <c r="E162" s="1042" t="s">
        <v>562</v>
      </c>
      <c r="F162" s="266" t="s">
        <v>4</v>
      </c>
      <c r="G162" s="701">
        <v>3038.4949999999999</v>
      </c>
      <c r="H162" s="1045" t="s">
        <v>84</v>
      </c>
      <c r="I162" s="1046"/>
      <c r="J162" s="254"/>
      <c r="K162" s="654"/>
      <c r="L162" s="702">
        <v>3038.4949999999999</v>
      </c>
      <c r="M162" s="703"/>
      <c r="N162" s="656"/>
      <c r="O162" s="657"/>
      <c r="P162" s="654"/>
      <c r="Q162" s="654"/>
      <c r="R162" s="654"/>
      <c r="S162" s="654"/>
    </row>
    <row r="163" spans="1:19" s="700" customFormat="1" ht="13.2" customHeight="1">
      <c r="A163" s="1072"/>
      <c r="B163" s="1098"/>
      <c r="C163" s="1078"/>
      <c r="D163" s="1080"/>
      <c r="E163" s="1043"/>
      <c r="F163" s="274" t="s">
        <v>24</v>
      </c>
      <c r="G163" s="276">
        <f>ROUND(G162*90.0406504065%,5)</f>
        <v>2735.8806599999998</v>
      </c>
      <c r="H163" s="1047"/>
      <c r="I163" s="1048"/>
      <c r="J163" s="254"/>
      <c r="K163" s="654"/>
      <c r="L163" s="675">
        <f>ROUND(L162*90.0406504065%,5)</f>
        <v>2735.8806599999998</v>
      </c>
      <c r="M163" s="703"/>
      <c r="N163" s="656"/>
      <c r="O163" s="657"/>
      <c r="P163" s="654"/>
      <c r="Q163" s="654"/>
      <c r="R163" s="654"/>
      <c r="S163" s="654"/>
    </row>
    <row r="164" spans="1:19" s="700" customFormat="1" ht="13.2" customHeight="1">
      <c r="A164" s="1072"/>
      <c r="B164" s="1098"/>
      <c r="C164" s="1081" t="s">
        <v>215</v>
      </c>
      <c r="D164" s="1082">
        <v>1063.8</v>
      </c>
      <c r="E164" s="1043"/>
      <c r="F164" s="274" t="s">
        <v>10</v>
      </c>
      <c r="G164" s="275"/>
      <c r="H164" s="1047"/>
      <c r="I164" s="1048"/>
      <c r="J164" s="254"/>
      <c r="K164" s="654"/>
      <c r="L164" s="676"/>
      <c r="M164" s="703"/>
      <c r="N164" s="656"/>
      <c r="O164" s="657"/>
      <c r="P164" s="654"/>
      <c r="Q164" s="654"/>
      <c r="R164" s="654"/>
      <c r="S164" s="654"/>
    </row>
    <row r="165" spans="1:19" s="700" customFormat="1" ht="13.2" customHeight="1">
      <c r="A165" s="1073"/>
      <c r="B165" s="1099"/>
      <c r="C165" s="1078"/>
      <c r="D165" s="1080"/>
      <c r="E165" s="1044"/>
      <c r="F165" s="274" t="s">
        <v>11</v>
      </c>
      <c r="G165" s="276">
        <f>G162-G163</f>
        <v>302.61434000000008</v>
      </c>
      <c r="H165" s="1049"/>
      <c r="I165" s="1050"/>
      <c r="J165" s="254"/>
      <c r="K165" s="654"/>
      <c r="L165" s="675">
        <f>L162-L163</f>
        <v>302.61434000000008</v>
      </c>
      <c r="M165" s="703"/>
      <c r="N165" s="656"/>
      <c r="O165" s="657"/>
      <c r="P165" s="654"/>
      <c r="Q165" s="654"/>
      <c r="R165" s="654"/>
      <c r="S165" s="654"/>
    </row>
    <row r="166" spans="1:19" s="700" customFormat="1" ht="13.2" customHeight="1">
      <c r="A166" s="1086" t="s">
        <v>111</v>
      </c>
      <c r="B166" s="1097" t="s">
        <v>593</v>
      </c>
      <c r="C166" s="1081" t="s">
        <v>131</v>
      </c>
      <c r="D166" s="1082" t="s">
        <v>595</v>
      </c>
      <c r="E166" s="1042" t="s">
        <v>562</v>
      </c>
      <c r="F166" s="266" t="s">
        <v>4</v>
      </c>
      <c r="G166" s="701">
        <v>5827.652</v>
      </c>
      <c r="H166" s="1045" t="s">
        <v>84</v>
      </c>
      <c r="I166" s="1046"/>
      <c r="J166" s="254"/>
      <c r="K166" s="654"/>
      <c r="L166" s="704">
        <v>5827.652</v>
      </c>
      <c r="M166" s="705">
        <f>G166-L166</f>
        <v>0</v>
      </c>
      <c r="N166" s="656" t="s">
        <v>861</v>
      </c>
      <c r="O166" s="657"/>
      <c r="P166" s="654">
        <f>P168+P169</f>
        <v>26.058299999999999</v>
      </c>
      <c r="Q166" s="654"/>
      <c r="R166" s="654"/>
      <c r="S166" s="654"/>
    </row>
    <row r="167" spans="1:19" s="700" customFormat="1" ht="13.2" customHeight="1">
      <c r="A167" s="1072"/>
      <c r="B167" s="1098"/>
      <c r="C167" s="1078"/>
      <c r="D167" s="1080"/>
      <c r="E167" s="1043"/>
      <c r="F167" s="274" t="s">
        <v>24</v>
      </c>
      <c r="G167" s="276">
        <f>ROUND(G166*90.0406504065%,5)</f>
        <v>5247.25576</v>
      </c>
      <c r="H167" s="1047"/>
      <c r="I167" s="1048"/>
      <c r="J167" s="254"/>
      <c r="K167" s="654"/>
      <c r="L167" s="675">
        <f>ROUND(L166*90.0406504065%,5)</f>
        <v>5247.25576</v>
      </c>
      <c r="M167" s="705">
        <f>G167-L167</f>
        <v>0</v>
      </c>
      <c r="N167" s="656"/>
      <c r="O167" s="657"/>
      <c r="P167" s="654"/>
      <c r="Q167" s="654"/>
      <c r="R167" s="654"/>
      <c r="S167" s="654"/>
    </row>
    <row r="168" spans="1:19" s="700" customFormat="1" ht="13.2" customHeight="1">
      <c r="A168" s="1072"/>
      <c r="B168" s="1098"/>
      <c r="C168" s="1081" t="s">
        <v>215</v>
      </c>
      <c r="D168" s="1082">
        <v>1893</v>
      </c>
      <c r="E168" s="1043"/>
      <c r="F168" s="274" t="s">
        <v>10</v>
      </c>
      <c r="G168" s="275"/>
      <c r="H168" s="1047"/>
      <c r="I168" s="1048"/>
      <c r="J168" s="254"/>
      <c r="K168" s="654"/>
      <c r="L168" s="676"/>
      <c r="M168" s="705">
        <f>G168-L168</f>
        <v>0</v>
      </c>
      <c r="N168" s="656"/>
      <c r="O168" s="657"/>
      <c r="P168" s="654"/>
      <c r="Q168" s="654"/>
      <c r="R168" s="654"/>
      <c r="S168" s="654"/>
    </row>
    <row r="169" spans="1:19" s="700" customFormat="1" ht="13.2" customHeight="1">
      <c r="A169" s="1073"/>
      <c r="B169" s="1099"/>
      <c r="C169" s="1078"/>
      <c r="D169" s="1080"/>
      <c r="E169" s="1044"/>
      <c r="F169" s="274" t="s">
        <v>11</v>
      </c>
      <c r="G169" s="276">
        <f>G166-G167</f>
        <v>580.39624000000003</v>
      </c>
      <c r="H169" s="1049"/>
      <c r="I169" s="1050"/>
      <c r="J169" s="254"/>
      <c r="K169" s="654"/>
      <c r="L169" s="675">
        <f>L166-L167</f>
        <v>580.39624000000003</v>
      </c>
      <c r="M169" s="705">
        <f>G169-L169</f>
        <v>0</v>
      </c>
      <c r="N169" s="656"/>
      <c r="O169" s="657"/>
      <c r="P169" s="654">
        <v>26.058299999999999</v>
      </c>
      <c r="Q169" s="654"/>
      <c r="R169" s="654"/>
      <c r="S169" s="654"/>
    </row>
    <row r="170" spans="1:19" s="700" customFormat="1" ht="11.4" customHeight="1">
      <c r="A170" s="1086" t="s">
        <v>587</v>
      </c>
      <c r="B170" s="1097" t="s">
        <v>596</v>
      </c>
      <c r="C170" s="1081" t="s">
        <v>131</v>
      </c>
      <c r="D170" s="1082" t="s">
        <v>598</v>
      </c>
      <c r="E170" s="1042" t="s">
        <v>562</v>
      </c>
      <c r="F170" s="266" t="s">
        <v>4</v>
      </c>
      <c r="G170" s="701">
        <v>3061.9560000000001</v>
      </c>
      <c r="H170" s="1045" t="s">
        <v>84</v>
      </c>
      <c r="I170" s="1046"/>
      <c r="J170" s="254"/>
      <c r="K170" s="654"/>
      <c r="L170" s="702">
        <v>3061.9560000000001</v>
      </c>
      <c r="M170" s="703"/>
      <c r="N170" s="656"/>
      <c r="O170" s="657"/>
      <c r="P170" s="654"/>
      <c r="Q170" s="654"/>
      <c r="R170" s="654"/>
      <c r="S170" s="654"/>
    </row>
    <row r="171" spans="1:19" s="700" customFormat="1" ht="11.4" customHeight="1">
      <c r="A171" s="1072"/>
      <c r="B171" s="1098"/>
      <c r="C171" s="1078"/>
      <c r="D171" s="1080"/>
      <c r="E171" s="1043"/>
      <c r="F171" s="274" t="s">
        <v>24</v>
      </c>
      <c r="G171" s="276">
        <f>ROUND(G170*90.0406504065%,5)</f>
        <v>2757.0050999999999</v>
      </c>
      <c r="H171" s="1047"/>
      <c r="I171" s="1048"/>
      <c r="J171" s="254"/>
      <c r="K171" s="654"/>
      <c r="L171" s="675">
        <f>ROUND(L170*90.0406504065%,5)</f>
        <v>2757.0050999999999</v>
      </c>
      <c r="M171" s="703"/>
      <c r="N171" s="656"/>
      <c r="O171" s="657"/>
      <c r="P171" s="654"/>
      <c r="Q171" s="654"/>
      <c r="R171" s="654"/>
      <c r="S171" s="654"/>
    </row>
    <row r="172" spans="1:19" s="700" customFormat="1" ht="11.4" customHeight="1">
      <c r="A172" s="1072"/>
      <c r="B172" s="1098"/>
      <c r="C172" s="1081" t="s">
        <v>215</v>
      </c>
      <c r="D172" s="1082">
        <v>993</v>
      </c>
      <c r="E172" s="1043"/>
      <c r="F172" s="274" t="s">
        <v>10</v>
      </c>
      <c r="G172" s="275"/>
      <c r="H172" s="1047"/>
      <c r="I172" s="1048"/>
      <c r="J172" s="254"/>
      <c r="K172" s="654"/>
      <c r="L172" s="676"/>
      <c r="M172" s="703"/>
      <c r="N172" s="656"/>
      <c r="O172" s="657"/>
      <c r="P172" s="654"/>
      <c r="Q172" s="654"/>
      <c r="R172" s="654"/>
      <c r="S172" s="654"/>
    </row>
    <row r="173" spans="1:19" s="700" customFormat="1" ht="11.4" customHeight="1">
      <c r="A173" s="1073"/>
      <c r="B173" s="1099"/>
      <c r="C173" s="1078"/>
      <c r="D173" s="1080"/>
      <c r="E173" s="1044"/>
      <c r="F173" s="274" t="s">
        <v>11</v>
      </c>
      <c r="G173" s="276">
        <f>G170-G171</f>
        <v>304.95090000000027</v>
      </c>
      <c r="H173" s="1049"/>
      <c r="I173" s="1050"/>
      <c r="J173" s="254"/>
      <c r="K173" s="654"/>
      <c r="L173" s="675">
        <f>L170-L171</f>
        <v>304.95090000000027</v>
      </c>
      <c r="M173" s="703"/>
      <c r="N173" s="656"/>
      <c r="O173" s="657"/>
      <c r="P173" s="654"/>
      <c r="Q173" s="654"/>
      <c r="R173" s="654"/>
      <c r="S173" s="654"/>
    </row>
    <row r="174" spans="1:19" s="700" customFormat="1" ht="13.2" customHeight="1">
      <c r="A174" s="1086" t="s">
        <v>588</v>
      </c>
      <c r="B174" s="1097" t="s">
        <v>597</v>
      </c>
      <c r="C174" s="1081" t="s">
        <v>131</v>
      </c>
      <c r="D174" s="1082" t="s">
        <v>599</v>
      </c>
      <c r="E174" s="1042" t="s">
        <v>562</v>
      </c>
      <c r="F174" s="266" t="s">
        <v>4</v>
      </c>
      <c r="G174" s="701">
        <v>2923.1759999999999</v>
      </c>
      <c r="H174" s="1045" t="s">
        <v>84</v>
      </c>
      <c r="I174" s="1046"/>
      <c r="J174" s="254"/>
      <c r="K174" s="706">
        <v>3131.9650000000001</v>
      </c>
      <c r="L174" s="704">
        <v>2923.1759999999999</v>
      </c>
      <c r="M174" s="705">
        <f>G174-L174</f>
        <v>0</v>
      </c>
      <c r="N174" s="656" t="s">
        <v>862</v>
      </c>
      <c r="O174" s="657"/>
      <c r="P174" s="654">
        <f>P176+P177</f>
        <v>31.539470000000001</v>
      </c>
      <c r="Q174" s="654"/>
      <c r="R174" s="654"/>
      <c r="S174" s="654"/>
    </row>
    <row r="175" spans="1:19" s="700" customFormat="1" ht="13.2" customHeight="1">
      <c r="A175" s="1072"/>
      <c r="B175" s="1098"/>
      <c r="C175" s="1078"/>
      <c r="D175" s="1080"/>
      <c r="E175" s="1043"/>
      <c r="F175" s="274" t="s">
        <v>24</v>
      </c>
      <c r="G175" s="276">
        <f>ROUND(G174*90.0406504065%,5)</f>
        <v>2632.0466799999999</v>
      </c>
      <c r="H175" s="1047"/>
      <c r="I175" s="1048"/>
      <c r="J175" s="254"/>
      <c r="K175" s="707">
        <f>ROUND(K174*90.0406504065%,5)</f>
        <v>2820.0416599999999</v>
      </c>
      <c r="L175" s="675">
        <f>ROUND(L174*90.0406504065%,5)</f>
        <v>2632.0466799999999</v>
      </c>
      <c r="M175" s="705">
        <f>G175-L175</f>
        <v>0</v>
      </c>
      <c r="N175" s="656"/>
      <c r="O175" s="657"/>
      <c r="P175" s="654"/>
      <c r="Q175" s="654"/>
      <c r="R175" s="654"/>
      <c r="S175" s="654"/>
    </row>
    <row r="176" spans="1:19" s="700" customFormat="1" ht="13.2" customHeight="1">
      <c r="A176" s="1072"/>
      <c r="B176" s="1098"/>
      <c r="C176" s="1081" t="s">
        <v>215</v>
      </c>
      <c r="D176" s="1082">
        <v>889</v>
      </c>
      <c r="E176" s="1043"/>
      <c r="F176" s="274" t="s">
        <v>10</v>
      </c>
      <c r="G176" s="275"/>
      <c r="H176" s="1047"/>
      <c r="I176" s="1048"/>
      <c r="J176" s="254"/>
      <c r="K176" s="708"/>
      <c r="L176" s="676"/>
      <c r="M176" s="705">
        <f>G176-L176</f>
        <v>0</v>
      </c>
      <c r="N176" s="656"/>
      <c r="O176" s="657"/>
      <c r="P176" s="654">
        <v>0</v>
      </c>
      <c r="Q176" s="654"/>
      <c r="R176" s="654"/>
      <c r="S176" s="654"/>
    </row>
    <row r="177" spans="1:19" s="700" customFormat="1" ht="13.2" customHeight="1">
      <c r="A177" s="1073"/>
      <c r="B177" s="1099"/>
      <c r="C177" s="1078"/>
      <c r="D177" s="1080"/>
      <c r="E177" s="1044"/>
      <c r="F177" s="274" t="s">
        <v>11</v>
      </c>
      <c r="G177" s="276">
        <f>G174-G175</f>
        <v>291.12932000000001</v>
      </c>
      <c r="H177" s="1049"/>
      <c r="I177" s="1050"/>
      <c r="J177" s="254"/>
      <c r="K177" s="707">
        <f>K174-K175</f>
        <v>311.92334000000028</v>
      </c>
      <c r="L177" s="675">
        <f>L174-L175</f>
        <v>291.12932000000001</v>
      </c>
      <c r="M177" s="705">
        <f>G177-L177</f>
        <v>0</v>
      </c>
      <c r="N177" s="656"/>
      <c r="O177" s="657"/>
      <c r="P177" s="654">
        <v>31.539470000000001</v>
      </c>
      <c r="Q177" s="654"/>
      <c r="R177" s="654"/>
      <c r="S177" s="654"/>
    </row>
    <row r="178" spans="1:19" s="700" customFormat="1" ht="15.6" customHeight="1">
      <c r="A178" s="1086" t="s">
        <v>678</v>
      </c>
      <c r="B178" s="1012" t="s">
        <v>677</v>
      </c>
      <c r="C178" s="1081" t="s">
        <v>131</v>
      </c>
      <c r="D178" s="1082" t="s">
        <v>679</v>
      </c>
      <c r="E178" s="1042" t="s">
        <v>562</v>
      </c>
      <c r="F178" s="266" t="s">
        <v>4</v>
      </c>
      <c r="G178" s="709">
        <v>4514.97</v>
      </c>
      <c r="H178" s="1045" t="s">
        <v>84</v>
      </c>
      <c r="I178" s="1046"/>
      <c r="J178" s="254"/>
      <c r="K178" s="654">
        <v>4801.7045600000001</v>
      </c>
      <c r="L178" s="704">
        <v>4514.97</v>
      </c>
      <c r="M178" s="703"/>
      <c r="N178" s="656"/>
      <c r="O178" s="657"/>
      <c r="P178" s="654"/>
      <c r="Q178" s="654"/>
      <c r="R178" s="654"/>
      <c r="S178" s="654"/>
    </row>
    <row r="179" spans="1:19" s="700" customFormat="1" ht="15.6" customHeight="1">
      <c r="A179" s="1072"/>
      <c r="B179" s="1012"/>
      <c r="C179" s="1078"/>
      <c r="D179" s="1080"/>
      <c r="E179" s="1043"/>
      <c r="F179" s="274" t="s">
        <v>24</v>
      </c>
      <c r="G179" s="276">
        <f>ROUND(G178*90.0406504065%,5)</f>
        <v>4065.3083499999998</v>
      </c>
      <c r="H179" s="1047"/>
      <c r="I179" s="1048"/>
      <c r="J179" s="254"/>
      <c r="K179" s="654"/>
      <c r="L179" s="675">
        <f>ROUND(L178*90.0406504065%,5)</f>
        <v>4065.3083499999998</v>
      </c>
      <c r="M179" s="703"/>
      <c r="N179" s="656"/>
      <c r="O179" s="657"/>
      <c r="P179" s="654"/>
      <c r="Q179" s="654"/>
      <c r="R179" s="654"/>
      <c r="S179" s="654"/>
    </row>
    <row r="180" spans="1:19" s="700" customFormat="1" ht="15.6" customHeight="1">
      <c r="A180" s="1072"/>
      <c r="B180" s="1012"/>
      <c r="C180" s="1081" t="s">
        <v>215</v>
      </c>
      <c r="D180" s="1082">
        <v>1895</v>
      </c>
      <c r="E180" s="1043"/>
      <c r="F180" s="274" t="s">
        <v>10</v>
      </c>
      <c r="G180" s="275"/>
      <c r="H180" s="1047"/>
      <c r="I180" s="1048"/>
      <c r="J180" s="254"/>
      <c r="K180" s="654"/>
      <c r="L180" s="676"/>
      <c r="M180" s="676"/>
      <c r="N180" s="669"/>
      <c r="O180" s="657"/>
      <c r="P180" s="654"/>
      <c r="Q180" s="654"/>
      <c r="R180" s="654"/>
      <c r="S180" s="654"/>
    </row>
    <row r="181" spans="1:19" s="700" customFormat="1" ht="15.6" customHeight="1">
      <c r="A181" s="1073"/>
      <c r="B181" s="1012"/>
      <c r="C181" s="1078"/>
      <c r="D181" s="1080"/>
      <c r="E181" s="1044"/>
      <c r="F181" s="274" t="s">
        <v>11</v>
      </c>
      <c r="G181" s="276">
        <f>G178-G179</f>
        <v>449.66165000000046</v>
      </c>
      <c r="H181" s="1049"/>
      <c r="I181" s="1050"/>
      <c r="J181" s="254"/>
      <c r="K181" s="654"/>
      <c r="L181" s="675">
        <f>L178-L179</f>
        <v>449.66165000000046</v>
      </c>
      <c r="M181" s="675"/>
      <c r="N181" s="669"/>
      <c r="O181" s="657"/>
      <c r="P181" s="654"/>
      <c r="Q181" s="654"/>
      <c r="R181" s="654"/>
      <c r="S181" s="654"/>
    </row>
    <row r="182" spans="1:19" s="700" customFormat="1" ht="15.6" customHeight="1">
      <c r="A182" s="1086" t="s">
        <v>686</v>
      </c>
      <c r="B182" s="1012" t="s">
        <v>724</v>
      </c>
      <c r="C182" s="1081" t="s">
        <v>131</v>
      </c>
      <c r="D182" s="1082">
        <v>259</v>
      </c>
      <c r="E182" s="1042" t="s">
        <v>562</v>
      </c>
      <c r="F182" s="266" t="s">
        <v>4</v>
      </c>
      <c r="G182" s="709">
        <v>4877.7340000000004</v>
      </c>
      <c r="H182" s="1045" t="s">
        <v>84</v>
      </c>
      <c r="I182" s="1046"/>
      <c r="J182" s="254"/>
      <c r="K182" s="704">
        <v>5139.37</v>
      </c>
      <c r="L182" s="704">
        <v>4877.7340000000004</v>
      </c>
      <c r="M182" s="705">
        <f>G182-L182</f>
        <v>0</v>
      </c>
      <c r="N182" s="656"/>
      <c r="O182" s="657"/>
      <c r="P182" s="657"/>
      <c r="Q182" s="654">
        <v>261.64659999999998</v>
      </c>
      <c r="R182" s="654"/>
      <c r="S182" s="654"/>
    </row>
    <row r="183" spans="1:19" s="700" customFormat="1" ht="15.6" customHeight="1">
      <c r="A183" s="1072"/>
      <c r="B183" s="1012"/>
      <c r="C183" s="1078"/>
      <c r="D183" s="1080"/>
      <c r="E183" s="1043"/>
      <c r="F183" s="274" t="s">
        <v>24</v>
      </c>
      <c r="G183" s="276">
        <f>ROUND(G182*90.0406504065%,5)</f>
        <v>4391.9434199999996</v>
      </c>
      <c r="H183" s="1047"/>
      <c r="I183" s="1048"/>
      <c r="J183" s="254"/>
      <c r="K183" s="710">
        <f>K182-K185</f>
        <v>4625.433</v>
      </c>
      <c r="L183" s="675">
        <f>ROUND(L182*90.0406504065%,5)</f>
        <v>4391.9434199999996</v>
      </c>
      <c r="M183" s="705">
        <f>G183-L183</f>
        <v>0</v>
      </c>
      <c r="N183" s="669" t="s">
        <v>863</v>
      </c>
      <c r="O183" s="657"/>
      <c r="P183" s="657"/>
      <c r="Q183" s="654">
        <v>235.5883</v>
      </c>
      <c r="R183" s="654"/>
      <c r="S183" s="654"/>
    </row>
    <row r="184" spans="1:19" s="700" customFormat="1" ht="15.6" customHeight="1">
      <c r="A184" s="1072"/>
      <c r="B184" s="1012"/>
      <c r="C184" s="1081" t="s">
        <v>215</v>
      </c>
      <c r="D184" s="1082">
        <v>1814</v>
      </c>
      <c r="E184" s="1043"/>
      <c r="F184" s="274" t="s">
        <v>10</v>
      </c>
      <c r="G184" s="275"/>
      <c r="H184" s="1047"/>
      <c r="I184" s="1048"/>
      <c r="J184" s="254"/>
      <c r="K184" s="676"/>
      <c r="L184" s="676"/>
      <c r="M184" s="705">
        <f>G184-L184</f>
        <v>0</v>
      </c>
      <c r="N184" s="656"/>
      <c r="O184" s="657"/>
      <c r="P184" s="657"/>
      <c r="Q184" s="654"/>
      <c r="R184" s="654"/>
      <c r="S184" s="654"/>
    </row>
    <row r="185" spans="1:19" s="700" customFormat="1" ht="15.6" customHeight="1">
      <c r="A185" s="1073"/>
      <c r="B185" s="1012"/>
      <c r="C185" s="1078"/>
      <c r="D185" s="1080"/>
      <c r="E185" s="1044"/>
      <c r="F185" s="274" t="s">
        <v>11</v>
      </c>
      <c r="G185" s="276">
        <f>G182-G183</f>
        <v>485.79058000000077</v>
      </c>
      <c r="H185" s="1049"/>
      <c r="I185" s="1050"/>
      <c r="J185" s="254"/>
      <c r="K185" s="675">
        <f>ROUND(K182*0.1,5)</f>
        <v>513.93700000000001</v>
      </c>
      <c r="L185" s="675">
        <f>L182-L183</f>
        <v>485.79058000000077</v>
      </c>
      <c r="M185" s="705">
        <f>G185-L185</f>
        <v>0</v>
      </c>
      <c r="N185" s="656"/>
      <c r="O185" s="657"/>
      <c r="P185" s="657"/>
      <c r="Q185" s="654">
        <v>26.058299999999999</v>
      </c>
      <c r="R185" s="654"/>
      <c r="S185" s="654"/>
    </row>
    <row r="186" spans="1:19" s="700" customFormat="1" ht="13.95" customHeight="1">
      <c r="A186" s="1159" t="s">
        <v>748</v>
      </c>
      <c r="B186" s="1012" t="s">
        <v>726</v>
      </c>
      <c r="C186" s="1081" t="s">
        <v>131</v>
      </c>
      <c r="D186" s="1082">
        <v>279</v>
      </c>
      <c r="E186" s="1042" t="s">
        <v>562</v>
      </c>
      <c r="F186" s="266" t="s">
        <v>4</v>
      </c>
      <c r="G186" s="709">
        <v>4923.76</v>
      </c>
      <c r="H186" s="1045" t="s">
        <v>84</v>
      </c>
      <c r="I186" s="1046"/>
      <c r="J186" s="254"/>
      <c r="K186" s="704">
        <v>4923.76</v>
      </c>
      <c r="L186" s="704">
        <f>G186</f>
        <v>4923.76</v>
      </c>
      <c r="M186" s="1106">
        <f>M187+M189+N189</f>
        <v>4923.76</v>
      </c>
      <c r="N186" s="1106"/>
      <c r="O186" s="657"/>
      <c r="P186" s="654"/>
      <c r="Q186" s="654"/>
      <c r="R186" s="654"/>
      <c r="S186" s="654"/>
    </row>
    <row r="187" spans="1:19" s="700" customFormat="1" ht="13.95" customHeight="1">
      <c r="A187" s="1160"/>
      <c r="B187" s="1012"/>
      <c r="C187" s="1078"/>
      <c r="D187" s="1080"/>
      <c r="E187" s="1043"/>
      <c r="F187" s="274" t="s">
        <v>24</v>
      </c>
      <c r="G187" s="276">
        <f>ROUND(G186*90.0406504065%,5)</f>
        <v>4433.3855299999996</v>
      </c>
      <c r="H187" s="1047"/>
      <c r="I187" s="1048"/>
      <c r="J187" s="254"/>
      <c r="K187" s="675">
        <f>ROUND(K186*90.0406504065%,5)</f>
        <v>4433.3855299999996</v>
      </c>
      <c r="L187" s="675">
        <f>G187</f>
        <v>4433.3855299999996</v>
      </c>
      <c r="M187" s="676">
        <f>G187</f>
        <v>4433.3855299999996</v>
      </c>
      <c r="N187" s="677"/>
      <c r="O187" s="657"/>
      <c r="P187" s="654"/>
      <c r="Q187" s="654"/>
      <c r="R187" s="654"/>
      <c r="S187" s="654"/>
    </row>
    <row r="188" spans="1:19" s="700" customFormat="1" ht="12" customHeight="1">
      <c r="A188" s="1160"/>
      <c r="B188" s="1012"/>
      <c r="C188" s="1081" t="s">
        <v>215</v>
      </c>
      <c r="D188" s="1082">
        <v>1954</v>
      </c>
      <c r="E188" s="1043"/>
      <c r="F188" s="274" t="s">
        <v>10</v>
      </c>
      <c r="G188" s="275"/>
      <c r="H188" s="1047"/>
      <c r="I188" s="1048"/>
      <c r="J188" s="254"/>
      <c r="K188" s="676"/>
      <c r="L188" s="676"/>
      <c r="M188" s="676"/>
      <c r="N188" s="678" t="s">
        <v>790</v>
      </c>
      <c r="O188" s="657"/>
      <c r="P188" s="654"/>
      <c r="Q188" s="654"/>
      <c r="R188" s="654"/>
      <c r="S188" s="654"/>
    </row>
    <row r="189" spans="1:19" s="700" customFormat="1" ht="13.95" customHeight="1">
      <c r="A189" s="1161"/>
      <c r="B189" s="1012"/>
      <c r="C189" s="1078"/>
      <c r="D189" s="1080"/>
      <c r="E189" s="1044"/>
      <c r="F189" s="274" t="s">
        <v>11</v>
      </c>
      <c r="G189" s="276">
        <f>G186-G187</f>
        <v>490.37447000000066</v>
      </c>
      <c r="H189" s="1049"/>
      <c r="I189" s="1050"/>
      <c r="J189" s="254"/>
      <c r="K189" s="675">
        <f>K186-K187</f>
        <v>490.37447000000066</v>
      </c>
      <c r="L189" s="675">
        <f>L186-L187</f>
        <v>490.37447000000066</v>
      </c>
      <c r="M189" s="676">
        <f>L187*9.9593495935/90.0406504065</f>
        <v>490.37447171579782</v>
      </c>
      <c r="N189" s="672">
        <f>L189-M189</f>
        <v>-1.7157971683445794E-6</v>
      </c>
      <c r="O189" s="657"/>
      <c r="P189" s="654"/>
      <c r="Q189" s="654"/>
      <c r="R189" s="654"/>
      <c r="S189" s="654"/>
    </row>
    <row r="190" spans="1:19" s="700" customFormat="1" ht="13.2" customHeight="1">
      <c r="A190" s="1086" t="s">
        <v>749</v>
      </c>
      <c r="B190" s="1012" t="s">
        <v>725</v>
      </c>
      <c r="C190" s="1081" t="s">
        <v>131</v>
      </c>
      <c r="D190" s="1082">
        <v>140</v>
      </c>
      <c r="E190" s="1042" t="s">
        <v>562</v>
      </c>
      <c r="F190" s="266" t="s">
        <v>4</v>
      </c>
      <c r="G190" s="701">
        <v>2433.6590000000001</v>
      </c>
      <c r="H190" s="1045" t="s">
        <v>84</v>
      </c>
      <c r="I190" s="1046"/>
      <c r="J190" s="254"/>
      <c r="K190" s="654"/>
      <c r="L190" s="704">
        <v>2433.6590000000001</v>
      </c>
      <c r="M190" s="666">
        <f>G190-L190</f>
        <v>0</v>
      </c>
      <c r="N190" s="656"/>
      <c r="O190" s="657"/>
      <c r="P190" s="654"/>
      <c r="Q190" s="654">
        <v>316.68200000000002</v>
      </c>
      <c r="R190" s="654"/>
      <c r="S190" s="654"/>
    </row>
    <row r="191" spans="1:19" s="700" customFormat="1" ht="13.2" customHeight="1">
      <c r="A191" s="1072"/>
      <c r="B191" s="1012"/>
      <c r="C191" s="1078"/>
      <c r="D191" s="1080"/>
      <c r="E191" s="1043"/>
      <c r="F191" s="274" t="s">
        <v>24</v>
      </c>
      <c r="G191" s="276">
        <f>ROUND(G190*90.0406504065%,5)</f>
        <v>2191.2823899999999</v>
      </c>
      <c r="H191" s="1047"/>
      <c r="I191" s="1048"/>
      <c r="J191" s="254"/>
      <c r="K191" s="654"/>
      <c r="L191" s="675">
        <f>ROUND(L190*90.0406504065%,5)</f>
        <v>2191.2823899999999</v>
      </c>
      <c r="M191" s="655">
        <f>G191-L191</f>
        <v>0</v>
      </c>
      <c r="N191" s="669" t="s">
        <v>863</v>
      </c>
      <c r="O191" s="657"/>
      <c r="P191" s="654"/>
      <c r="Q191" s="654">
        <v>285.14253000000002</v>
      </c>
      <c r="R191" s="654"/>
      <c r="S191" s="654"/>
    </row>
    <row r="192" spans="1:19" s="700" customFormat="1" ht="13.2" customHeight="1">
      <c r="A192" s="1072"/>
      <c r="B192" s="1012"/>
      <c r="C192" s="1081" t="s">
        <v>215</v>
      </c>
      <c r="D192" s="1082">
        <v>997.2</v>
      </c>
      <c r="E192" s="1043"/>
      <c r="F192" s="274" t="s">
        <v>10</v>
      </c>
      <c r="G192" s="275"/>
      <c r="H192" s="1047"/>
      <c r="I192" s="1048"/>
      <c r="J192" s="254"/>
      <c r="K192" s="654"/>
      <c r="L192" s="676"/>
      <c r="M192" s="655">
        <f>G192-L192</f>
        <v>0</v>
      </c>
      <c r="N192" s="656"/>
      <c r="O192" s="657"/>
      <c r="P192" s="654"/>
      <c r="Q192" s="654">
        <v>0</v>
      </c>
      <c r="R192" s="654"/>
      <c r="S192" s="654"/>
    </row>
    <row r="193" spans="1:19" s="700" customFormat="1" ht="13.2" customHeight="1">
      <c r="A193" s="1073"/>
      <c r="B193" s="1012"/>
      <c r="C193" s="1078"/>
      <c r="D193" s="1080"/>
      <c r="E193" s="1044"/>
      <c r="F193" s="274" t="s">
        <v>11</v>
      </c>
      <c r="G193" s="276">
        <f>G190-G191</f>
        <v>242.37661000000026</v>
      </c>
      <c r="H193" s="1049"/>
      <c r="I193" s="1050"/>
      <c r="J193" s="254"/>
      <c r="K193" s="654"/>
      <c r="L193" s="675">
        <f>L190-L191</f>
        <v>242.37661000000026</v>
      </c>
      <c r="M193" s="655">
        <f>G193-L193</f>
        <v>0</v>
      </c>
      <c r="N193" s="656"/>
      <c r="O193" s="657"/>
      <c r="P193" s="654"/>
      <c r="Q193" s="654">
        <v>31.539470000000001</v>
      </c>
      <c r="R193" s="654"/>
      <c r="S193" s="654"/>
    </row>
    <row r="194" spans="1:19" s="700" customFormat="1" ht="13.2" customHeight="1">
      <c r="A194" s="1086" t="s">
        <v>750</v>
      </c>
      <c r="B194" s="1012" t="s">
        <v>728</v>
      </c>
      <c r="C194" s="1081" t="s">
        <v>131</v>
      </c>
      <c r="D194" s="1082">
        <v>155</v>
      </c>
      <c r="E194" s="1042" t="s">
        <v>562</v>
      </c>
      <c r="F194" s="266" t="s">
        <v>4</v>
      </c>
      <c r="G194" s="701">
        <v>2943.7539999999999</v>
      </c>
      <c r="H194" s="1045" t="s">
        <v>84</v>
      </c>
      <c r="I194" s="1046"/>
      <c r="J194" s="254"/>
      <c r="K194" s="654"/>
      <c r="L194" s="704">
        <v>2943.7539999999999</v>
      </c>
      <c r="M194" s="654"/>
      <c r="N194" s="656"/>
      <c r="O194" s="657"/>
      <c r="P194" s="654"/>
      <c r="Q194" s="654"/>
      <c r="R194" s="654"/>
      <c r="S194" s="654"/>
    </row>
    <row r="195" spans="1:19" s="700" customFormat="1" ht="13.2" customHeight="1">
      <c r="A195" s="1072"/>
      <c r="B195" s="1012"/>
      <c r="C195" s="1078"/>
      <c r="D195" s="1080"/>
      <c r="E195" s="1043"/>
      <c r="F195" s="274" t="s">
        <v>24</v>
      </c>
      <c r="G195" s="276">
        <f>ROUND(G194*90.0406504065%,5)</f>
        <v>2650.5752499999999</v>
      </c>
      <c r="H195" s="1047"/>
      <c r="I195" s="1048"/>
      <c r="J195" s="254"/>
      <c r="K195" s="654"/>
      <c r="L195" s="675">
        <f>ROUND(L194*90.0406504065%,5)</f>
        <v>2650.5752499999999</v>
      </c>
      <c r="M195" s="654"/>
      <c r="N195" s="656"/>
      <c r="O195" s="657"/>
      <c r="P195" s="654"/>
      <c r="Q195" s="654"/>
      <c r="R195" s="654"/>
      <c r="S195" s="654"/>
    </row>
    <row r="196" spans="1:19" s="700" customFormat="1" ht="13.2" customHeight="1">
      <c r="A196" s="1072"/>
      <c r="B196" s="1012"/>
      <c r="C196" s="1081" t="s">
        <v>215</v>
      </c>
      <c r="D196" s="1082">
        <v>1087</v>
      </c>
      <c r="E196" s="1043"/>
      <c r="F196" s="274" t="s">
        <v>10</v>
      </c>
      <c r="G196" s="275"/>
      <c r="H196" s="1047"/>
      <c r="I196" s="1048"/>
      <c r="J196" s="254"/>
      <c r="K196" s="654"/>
      <c r="L196" s="676"/>
      <c r="M196" s="654"/>
      <c r="N196" s="656"/>
      <c r="O196" s="657"/>
      <c r="P196" s="654"/>
      <c r="Q196" s="654"/>
      <c r="R196" s="654"/>
      <c r="S196" s="654"/>
    </row>
    <row r="197" spans="1:19" s="700" customFormat="1" ht="13.2" customHeight="1">
      <c r="A197" s="1073"/>
      <c r="B197" s="1012"/>
      <c r="C197" s="1078"/>
      <c r="D197" s="1080"/>
      <c r="E197" s="1044"/>
      <c r="F197" s="274" t="s">
        <v>11</v>
      </c>
      <c r="G197" s="276">
        <f>G194-G195</f>
        <v>293.17875000000004</v>
      </c>
      <c r="H197" s="1049"/>
      <c r="I197" s="1050"/>
      <c r="J197" s="254"/>
      <c r="K197" s="654"/>
      <c r="L197" s="675">
        <f>L194-L195</f>
        <v>293.17875000000004</v>
      </c>
      <c r="M197" s="654"/>
      <c r="N197" s="656"/>
      <c r="O197" s="657"/>
      <c r="P197" s="654"/>
      <c r="Q197" s="654"/>
      <c r="R197" s="654"/>
      <c r="S197" s="654"/>
    </row>
    <row r="198" spans="1:19" s="700" customFormat="1" ht="13.2" customHeight="1">
      <c r="A198" s="1086" t="s">
        <v>751</v>
      </c>
      <c r="B198" s="1012" t="s">
        <v>733</v>
      </c>
      <c r="C198" s="1081" t="s">
        <v>131</v>
      </c>
      <c r="D198" s="1082">
        <v>195</v>
      </c>
      <c r="E198" s="1042" t="s">
        <v>562</v>
      </c>
      <c r="F198" s="266" t="s">
        <v>4</v>
      </c>
      <c r="G198" s="701">
        <v>5105.152</v>
      </c>
      <c r="H198" s="1045" t="s">
        <v>84</v>
      </c>
      <c r="I198" s="1046"/>
      <c r="J198" s="254"/>
      <c r="K198" s="654"/>
      <c r="L198" s="704">
        <v>5105.152</v>
      </c>
      <c r="M198" s="654"/>
      <c r="N198" s="656"/>
      <c r="O198" s="657"/>
      <c r="P198" s="654"/>
      <c r="Q198" s="654"/>
      <c r="R198" s="654"/>
      <c r="S198" s="654"/>
    </row>
    <row r="199" spans="1:19" s="700" customFormat="1" ht="13.2" customHeight="1">
      <c r="A199" s="1072"/>
      <c r="B199" s="1012"/>
      <c r="C199" s="1078"/>
      <c r="D199" s="1080"/>
      <c r="E199" s="1043"/>
      <c r="F199" s="274" t="s">
        <v>24</v>
      </c>
      <c r="G199" s="276">
        <f>ROUND(G198*90.0406504065%,5)</f>
        <v>4596.7120699999996</v>
      </c>
      <c r="H199" s="1047"/>
      <c r="I199" s="1048"/>
      <c r="J199" s="254"/>
      <c r="K199" s="654"/>
      <c r="L199" s="675">
        <f>ROUND(L198*90.0406504065%,5)</f>
        <v>4596.7120699999996</v>
      </c>
      <c r="M199" s="654"/>
      <c r="N199" s="656"/>
      <c r="O199" s="657"/>
      <c r="P199" s="654"/>
      <c r="Q199" s="654"/>
      <c r="R199" s="654"/>
      <c r="S199" s="654"/>
    </row>
    <row r="200" spans="1:19" s="700" customFormat="1" ht="13.2" customHeight="1">
      <c r="A200" s="1072"/>
      <c r="B200" s="1012"/>
      <c r="C200" s="1081" t="s">
        <v>215</v>
      </c>
      <c r="D200" s="1082">
        <v>1367.2</v>
      </c>
      <c r="E200" s="1043"/>
      <c r="F200" s="274" t="s">
        <v>10</v>
      </c>
      <c r="G200" s="275"/>
      <c r="H200" s="1047"/>
      <c r="I200" s="1048"/>
      <c r="J200" s="254"/>
      <c r="K200" s="654"/>
      <c r="L200" s="676"/>
      <c r="M200" s="654"/>
      <c r="N200" s="656"/>
      <c r="O200" s="657"/>
      <c r="P200" s="654"/>
      <c r="Q200" s="654"/>
      <c r="R200" s="654"/>
      <c r="S200" s="654"/>
    </row>
    <row r="201" spans="1:19" ht="13.2" customHeight="1">
      <c r="A201" s="1073"/>
      <c r="B201" s="1012"/>
      <c r="C201" s="1078"/>
      <c r="D201" s="1080"/>
      <c r="E201" s="1044"/>
      <c r="F201" s="274" t="s">
        <v>11</v>
      </c>
      <c r="G201" s="276">
        <f>G198-G199</f>
        <v>508.43993000000046</v>
      </c>
      <c r="H201" s="1049"/>
      <c r="I201" s="1050"/>
      <c r="K201" s="654"/>
      <c r="L201" s="675">
        <f>L198-L199</f>
        <v>508.43993000000046</v>
      </c>
      <c r="M201" s="654"/>
      <c r="N201" s="656"/>
      <c r="O201" s="657"/>
      <c r="P201" s="654"/>
      <c r="Q201" s="654"/>
      <c r="R201" s="654"/>
      <c r="S201" s="654"/>
    </row>
    <row r="202" spans="1:19" ht="13.2" customHeight="1">
      <c r="A202" s="1086" t="s">
        <v>752</v>
      </c>
      <c r="B202" s="1012" t="s">
        <v>734</v>
      </c>
      <c r="C202" s="1081" t="s">
        <v>131</v>
      </c>
      <c r="D202" s="1082">
        <v>434</v>
      </c>
      <c r="E202" s="1042" t="s">
        <v>562</v>
      </c>
      <c r="F202" s="266" t="s">
        <v>4</v>
      </c>
      <c r="G202" s="701">
        <f>G203+G205</f>
        <v>7348.8289999999997</v>
      </c>
      <c r="H202" s="1045" t="s">
        <v>84</v>
      </c>
      <c r="I202" s="1046"/>
      <c r="K202" s="654"/>
      <c r="L202" s="704">
        <v>7348.8289999999997</v>
      </c>
      <c r="M202" s="654" t="s">
        <v>866</v>
      </c>
      <c r="N202" s="656"/>
      <c r="O202" s="657"/>
      <c r="P202" s="654"/>
      <c r="Q202" s="654"/>
      <c r="R202" s="654"/>
      <c r="S202" s="654"/>
    </row>
    <row r="203" spans="1:19" ht="13.2" customHeight="1">
      <c r="A203" s="1072"/>
      <c r="B203" s="1012"/>
      <c r="C203" s="1078"/>
      <c r="D203" s="1080"/>
      <c r="E203" s="1043"/>
      <c r="F203" s="274" t="s">
        <v>24</v>
      </c>
      <c r="G203" s="276">
        <v>6616.9334099999996</v>
      </c>
      <c r="H203" s="1047"/>
      <c r="I203" s="1048"/>
      <c r="K203" s="654"/>
      <c r="L203" s="675">
        <f>ROUND(L202*90.0406504065%,5)</f>
        <v>6616.93343</v>
      </c>
      <c r="M203" s="654"/>
      <c r="N203" s="656"/>
      <c r="O203" s="657"/>
      <c r="P203" s="654"/>
      <c r="Q203" s="654"/>
      <c r="R203" s="654"/>
      <c r="S203" s="654"/>
    </row>
    <row r="204" spans="1:19" ht="13.2" customHeight="1">
      <c r="A204" s="1072"/>
      <c r="B204" s="1012"/>
      <c r="C204" s="1081" t="s">
        <v>215</v>
      </c>
      <c r="D204" s="1082">
        <v>3038</v>
      </c>
      <c r="E204" s="1043"/>
      <c r="F204" s="274" t="s">
        <v>10</v>
      </c>
      <c r="G204" s="275"/>
      <c r="H204" s="1047"/>
      <c r="I204" s="1048"/>
      <c r="K204" s="654"/>
      <c r="L204" s="676"/>
      <c r="M204" s="654"/>
      <c r="N204" s="656"/>
      <c r="O204" s="657"/>
      <c r="P204" s="654"/>
      <c r="Q204" s="654"/>
      <c r="R204" s="654"/>
      <c r="S204" s="654"/>
    </row>
    <row r="205" spans="1:19" ht="13.2" customHeight="1">
      <c r="A205" s="1073"/>
      <c r="B205" s="1012"/>
      <c r="C205" s="1078"/>
      <c r="D205" s="1080"/>
      <c r="E205" s="1044"/>
      <c r="F205" s="274" t="s">
        <v>11</v>
      </c>
      <c r="G205" s="276">
        <v>731.89558999999997</v>
      </c>
      <c r="H205" s="1049"/>
      <c r="I205" s="1050"/>
      <c r="K205" s="654"/>
      <c r="L205" s="675">
        <f>L202-L203</f>
        <v>731.89556999999968</v>
      </c>
      <c r="M205" s="654"/>
      <c r="N205" s="656"/>
      <c r="O205" s="657"/>
      <c r="P205" s="654"/>
      <c r="Q205" s="654"/>
      <c r="R205" s="654"/>
      <c r="S205" s="654"/>
    </row>
    <row r="206" spans="1:19" ht="13.2" customHeight="1">
      <c r="A206" s="1055">
        <v>2</v>
      </c>
      <c r="B206" s="1148" t="s">
        <v>670</v>
      </c>
      <c r="C206" s="1061" t="s">
        <v>9</v>
      </c>
      <c r="D206" s="1150" t="s">
        <v>9</v>
      </c>
      <c r="E206" s="1042" t="s">
        <v>9</v>
      </c>
      <c r="F206" s="266" t="s">
        <v>4</v>
      </c>
      <c r="G206" s="270">
        <f>G210</f>
        <v>0</v>
      </c>
      <c r="H206" s="1045" t="s">
        <v>9</v>
      </c>
      <c r="I206" s="1046"/>
      <c r="K206" s="654"/>
      <c r="L206" s="711"/>
      <c r="M206" s="654"/>
      <c r="N206" s="656"/>
      <c r="O206" s="657"/>
      <c r="P206" s="654"/>
      <c r="Q206" s="654"/>
      <c r="R206" s="654"/>
      <c r="S206" s="654"/>
    </row>
    <row r="207" spans="1:19" ht="13.2" customHeight="1">
      <c r="A207" s="1056"/>
      <c r="B207" s="1149"/>
      <c r="C207" s="1062"/>
      <c r="D207" s="1151"/>
      <c r="E207" s="1043"/>
      <c r="F207" s="266" t="s">
        <v>24</v>
      </c>
      <c r="G207" s="270">
        <f>G211</f>
        <v>0</v>
      </c>
      <c r="H207" s="1047"/>
      <c r="I207" s="1048"/>
      <c r="K207" s="654"/>
      <c r="L207" s="711"/>
      <c r="M207" s="654"/>
      <c r="N207" s="656"/>
      <c r="O207" s="657"/>
      <c r="P207" s="654"/>
      <c r="Q207" s="654"/>
      <c r="R207" s="654"/>
      <c r="S207" s="654"/>
    </row>
    <row r="208" spans="1:19" ht="13.2" customHeight="1">
      <c r="A208" s="1056"/>
      <c r="B208" s="1149"/>
      <c r="C208" s="1062"/>
      <c r="D208" s="1151"/>
      <c r="E208" s="1043"/>
      <c r="F208" s="266" t="s">
        <v>10</v>
      </c>
      <c r="G208" s="270">
        <f>G212</f>
        <v>0</v>
      </c>
      <c r="H208" s="1047"/>
      <c r="I208" s="1048"/>
      <c r="K208" s="654"/>
      <c r="L208" s="576"/>
      <c r="M208" s="654"/>
      <c r="N208" s="656"/>
      <c r="O208" s="657"/>
      <c r="P208" s="654"/>
      <c r="Q208" s="654"/>
      <c r="R208" s="654"/>
      <c r="S208" s="654"/>
    </row>
    <row r="209" spans="1:19" ht="13.2" customHeight="1">
      <c r="A209" s="1056"/>
      <c r="B209" s="1149"/>
      <c r="C209" s="1062"/>
      <c r="D209" s="1151"/>
      <c r="E209" s="1043"/>
      <c r="F209" s="266" t="s">
        <v>11</v>
      </c>
      <c r="G209" s="270">
        <f>G213</f>
        <v>0</v>
      </c>
      <c r="H209" s="1049"/>
      <c r="I209" s="1050"/>
      <c r="K209" s="654"/>
      <c r="L209" s="576"/>
      <c r="M209" s="654"/>
      <c r="N209" s="656"/>
      <c r="O209" s="657"/>
      <c r="P209" s="654"/>
      <c r="Q209" s="654"/>
      <c r="R209" s="654"/>
      <c r="S209" s="654"/>
    </row>
    <row r="210" spans="1:19" ht="13.2" customHeight="1">
      <c r="A210" s="1055" t="s">
        <v>366</v>
      </c>
      <c r="B210" s="1155" t="s">
        <v>672</v>
      </c>
      <c r="C210" s="1061" t="s">
        <v>9</v>
      </c>
      <c r="D210" s="1150" t="s">
        <v>9</v>
      </c>
      <c r="E210" s="1042" t="s">
        <v>9</v>
      </c>
      <c r="F210" s="266" t="s">
        <v>4</v>
      </c>
      <c r="G210" s="270">
        <f>G214</f>
        <v>0</v>
      </c>
      <c r="H210" s="1045" t="s">
        <v>9</v>
      </c>
      <c r="I210" s="1046"/>
      <c r="K210" s="654"/>
      <c r="L210" s="576"/>
      <c r="M210" s="654"/>
      <c r="N210" s="656"/>
      <c r="O210" s="657"/>
      <c r="P210" s="654"/>
      <c r="Q210" s="654"/>
      <c r="R210" s="654"/>
      <c r="S210" s="654"/>
    </row>
    <row r="211" spans="1:19" ht="13.2" customHeight="1">
      <c r="A211" s="1056"/>
      <c r="B211" s="1156"/>
      <c r="C211" s="1062"/>
      <c r="D211" s="1151"/>
      <c r="E211" s="1043"/>
      <c r="F211" s="266" t="s">
        <v>24</v>
      </c>
      <c r="G211" s="270">
        <f t="shared" ref="G211:G213" si="9">G215</f>
        <v>0</v>
      </c>
      <c r="H211" s="1047"/>
      <c r="I211" s="1048"/>
      <c r="K211" s="654"/>
      <c r="L211" s="576"/>
      <c r="M211" s="654"/>
      <c r="N211" s="656"/>
      <c r="O211" s="657"/>
      <c r="P211" s="654"/>
      <c r="Q211" s="654"/>
      <c r="R211" s="654"/>
      <c r="S211" s="654"/>
    </row>
    <row r="212" spans="1:19" ht="13.2" customHeight="1">
      <c r="A212" s="1056"/>
      <c r="B212" s="1156"/>
      <c r="C212" s="1062"/>
      <c r="D212" s="1151"/>
      <c r="E212" s="1043"/>
      <c r="F212" s="266" t="s">
        <v>10</v>
      </c>
      <c r="G212" s="270">
        <f t="shared" si="9"/>
        <v>0</v>
      </c>
      <c r="H212" s="1047"/>
      <c r="I212" s="1048"/>
      <c r="K212" s="654"/>
      <c r="L212" s="576"/>
      <c r="M212" s="654"/>
      <c r="N212" s="656"/>
      <c r="O212" s="657"/>
      <c r="P212" s="654"/>
      <c r="Q212" s="654"/>
      <c r="R212" s="654"/>
      <c r="S212" s="654"/>
    </row>
    <row r="213" spans="1:19" ht="13.2" customHeight="1">
      <c r="A213" s="1057"/>
      <c r="B213" s="1157"/>
      <c r="C213" s="1063"/>
      <c r="D213" s="1158"/>
      <c r="E213" s="1044"/>
      <c r="F213" s="266" t="s">
        <v>11</v>
      </c>
      <c r="G213" s="270">
        <f t="shared" si="9"/>
        <v>0</v>
      </c>
      <c r="H213" s="1049"/>
      <c r="I213" s="1050"/>
      <c r="K213" s="654"/>
      <c r="L213" s="576"/>
      <c r="M213" s="654"/>
      <c r="N213" s="656"/>
      <c r="O213" s="657"/>
      <c r="P213" s="654"/>
      <c r="Q213" s="654"/>
      <c r="R213" s="654"/>
      <c r="S213" s="654"/>
    </row>
    <row r="214" spans="1:19" ht="13.2" customHeight="1">
      <c r="A214" s="1086" t="s">
        <v>671</v>
      </c>
      <c r="B214" s="1097" t="s">
        <v>563</v>
      </c>
      <c r="C214" s="1081" t="s">
        <v>43</v>
      </c>
      <c r="D214" s="1152">
        <v>60</v>
      </c>
      <c r="E214" s="1042" t="s">
        <v>562</v>
      </c>
      <c r="F214" s="266" t="s">
        <v>4</v>
      </c>
      <c r="G214" s="270">
        <f>SUM(G215:G217)</f>
        <v>0</v>
      </c>
      <c r="H214" s="1045" t="s">
        <v>87</v>
      </c>
      <c r="I214" s="1046"/>
      <c r="K214" s="654"/>
      <c r="L214" s="576"/>
      <c r="M214" s="654"/>
      <c r="N214" s="656"/>
      <c r="O214" s="657"/>
      <c r="P214" s="654"/>
      <c r="Q214" s="654"/>
      <c r="R214" s="654"/>
      <c r="S214" s="654"/>
    </row>
    <row r="215" spans="1:19" ht="13.2" customHeight="1">
      <c r="A215" s="1072"/>
      <c r="B215" s="1098"/>
      <c r="C215" s="1077"/>
      <c r="D215" s="1153"/>
      <c r="E215" s="1043"/>
      <c r="F215" s="274" t="s">
        <v>24</v>
      </c>
      <c r="G215" s="270"/>
      <c r="H215" s="1047"/>
      <c r="I215" s="1048"/>
      <c r="K215" s="654"/>
      <c r="L215" s="576"/>
      <c r="M215" s="654"/>
      <c r="N215" s="656"/>
      <c r="O215" s="657"/>
      <c r="P215" s="654"/>
      <c r="Q215" s="654"/>
      <c r="R215" s="654"/>
      <c r="S215" s="654"/>
    </row>
    <row r="216" spans="1:19" s="700" customFormat="1" ht="13.2" customHeight="1">
      <c r="A216" s="1072"/>
      <c r="B216" s="1098"/>
      <c r="C216" s="1077"/>
      <c r="D216" s="1153"/>
      <c r="E216" s="1043"/>
      <c r="F216" s="274" t="s">
        <v>10</v>
      </c>
      <c r="G216" s="275"/>
      <c r="H216" s="1047"/>
      <c r="I216" s="1048"/>
      <c r="J216" s="254"/>
      <c r="K216" s="654"/>
      <c r="L216" s="576"/>
      <c r="M216" s="654"/>
      <c r="N216" s="656"/>
      <c r="O216" s="657"/>
      <c r="P216" s="654"/>
      <c r="Q216" s="654"/>
      <c r="R216" s="654"/>
      <c r="S216" s="654"/>
    </row>
    <row r="217" spans="1:19" s="700" customFormat="1" ht="13.2" customHeight="1">
      <c r="A217" s="1073"/>
      <c r="B217" s="1099"/>
      <c r="C217" s="1078"/>
      <c r="D217" s="1154"/>
      <c r="E217" s="1044"/>
      <c r="F217" s="274" t="s">
        <v>11</v>
      </c>
      <c r="G217" s="276">
        <v>0</v>
      </c>
      <c r="H217" s="1049"/>
      <c r="I217" s="1050"/>
      <c r="J217" s="259"/>
      <c r="K217" s="654" t="s">
        <v>883</v>
      </c>
      <c r="L217" s="576"/>
      <c r="M217" s="654"/>
      <c r="N217" s="656"/>
      <c r="O217" s="657"/>
      <c r="P217" s="654"/>
      <c r="Q217" s="654"/>
      <c r="R217" s="654"/>
      <c r="S217" s="654"/>
    </row>
    <row r="218" spans="1:19" s="700" customFormat="1" ht="16.95" customHeight="1">
      <c r="A218" s="1055">
        <v>3</v>
      </c>
      <c r="B218" s="1100" t="s">
        <v>805</v>
      </c>
      <c r="C218" s="1061" t="s">
        <v>73</v>
      </c>
      <c r="D218" s="1145">
        <f>D222+D226+D230+D234+D238+D246+D250+D254+D258+D262</f>
        <v>25.464999999999996</v>
      </c>
      <c r="E218" s="1042" t="s">
        <v>9</v>
      </c>
      <c r="F218" s="266" t="s">
        <v>4</v>
      </c>
      <c r="G218" s="270">
        <f>G219+G220+G221</f>
        <v>105487.749</v>
      </c>
      <c r="H218" s="1045" t="s">
        <v>9</v>
      </c>
      <c r="I218" s="1046"/>
      <c r="J218" s="260"/>
      <c r="K218" s="712"/>
      <c r="L218" s="576"/>
      <c r="M218" s="654"/>
      <c r="N218" s="656"/>
      <c r="O218" s="657"/>
      <c r="P218" s="654"/>
      <c r="Q218" s="654"/>
      <c r="R218" s="654"/>
      <c r="S218" s="654"/>
    </row>
    <row r="219" spans="1:19" s="700" customFormat="1" ht="16.95" customHeight="1">
      <c r="A219" s="1056"/>
      <c r="B219" s="1101"/>
      <c r="C219" s="1062"/>
      <c r="D219" s="1146"/>
      <c r="E219" s="1043"/>
      <c r="F219" s="266" t="s">
        <v>24</v>
      </c>
      <c r="G219" s="270">
        <f>G223+G227+G231+G235+G239+G243+G247+G251+G255+G259+G263</f>
        <v>101600</v>
      </c>
      <c r="H219" s="1047"/>
      <c r="I219" s="1048"/>
      <c r="J219" s="260"/>
      <c r="K219" s="712"/>
      <c r="L219" s="576"/>
      <c r="M219" s="654"/>
      <c r="N219" s="656"/>
      <c r="O219" s="657"/>
      <c r="P219" s="654"/>
      <c r="Q219" s="654"/>
      <c r="R219" s="654"/>
      <c r="S219" s="654"/>
    </row>
    <row r="220" spans="1:19" s="700" customFormat="1" ht="16.95" customHeight="1">
      <c r="A220" s="1056"/>
      <c r="B220" s="1101"/>
      <c r="C220" s="1062"/>
      <c r="D220" s="1146"/>
      <c r="E220" s="1043"/>
      <c r="F220" s="266" t="s">
        <v>10</v>
      </c>
      <c r="G220" s="270">
        <f t="shared" ref="G220:G221" si="10">G224+G228+G232+G236+G240+G244+G248+G252+G256+G260+G264</f>
        <v>0</v>
      </c>
      <c r="H220" s="1047"/>
      <c r="I220" s="1048"/>
      <c r="J220" s="260"/>
      <c r="K220" s="712"/>
      <c r="L220" s="576"/>
      <c r="M220" s="654"/>
      <c r="N220" s="656"/>
      <c r="O220" s="657"/>
      <c r="P220" s="654"/>
      <c r="Q220" s="654"/>
      <c r="R220" s="654"/>
      <c r="S220" s="654"/>
    </row>
    <row r="221" spans="1:19" s="700" customFormat="1" ht="16.95" customHeight="1">
      <c r="A221" s="1057"/>
      <c r="B221" s="1102"/>
      <c r="C221" s="1063"/>
      <c r="D221" s="1147"/>
      <c r="E221" s="1044"/>
      <c r="F221" s="266" t="s">
        <v>11</v>
      </c>
      <c r="G221" s="270">
        <f t="shared" si="10"/>
        <v>3887.7489999999939</v>
      </c>
      <c r="H221" s="1049"/>
      <c r="I221" s="1050"/>
      <c r="J221" s="260"/>
      <c r="K221" s="712">
        <v>3887.7489999999998</v>
      </c>
      <c r="L221" s="713" t="s">
        <v>939</v>
      </c>
      <c r="M221" s="654"/>
      <c r="N221" s="656"/>
      <c r="O221" s="657"/>
      <c r="P221" s="654"/>
      <c r="Q221" s="654"/>
      <c r="R221" s="654"/>
      <c r="S221" s="654"/>
    </row>
    <row r="222" spans="1:19" s="700" customFormat="1" ht="13.2" customHeight="1">
      <c r="A222" s="1086" t="s">
        <v>801</v>
      </c>
      <c r="B222" s="1136" t="s">
        <v>674</v>
      </c>
      <c r="C222" s="1042" t="s">
        <v>73</v>
      </c>
      <c r="D222" s="1042">
        <v>1.41</v>
      </c>
      <c r="E222" s="1042" t="s">
        <v>562</v>
      </c>
      <c r="F222" s="266" t="s">
        <v>4</v>
      </c>
      <c r="G222" s="393">
        <f>G224+G225</f>
        <v>663.40499999999997</v>
      </c>
      <c r="H222" s="1045" t="s">
        <v>84</v>
      </c>
      <c r="I222" s="1046"/>
      <c r="J222" s="260"/>
      <c r="K222" s="712">
        <f>G222+G226+G230+G234+G238+G242+218.86506</f>
        <v>3487.7489999999998</v>
      </c>
      <c r="L222" s="576">
        <f>G225+G229+G233+G237+G241+218.86506</f>
        <v>2952.6640600000001</v>
      </c>
      <c r="M222" s="654"/>
      <c r="N222" s="656"/>
      <c r="O222" s="657"/>
      <c r="P222" s="654"/>
      <c r="Q222" s="654"/>
      <c r="R222" s="654"/>
      <c r="S222" s="654"/>
    </row>
    <row r="223" spans="1:19" s="700" customFormat="1" ht="13.2" customHeight="1">
      <c r="A223" s="1072"/>
      <c r="B223" s="1137"/>
      <c r="C223" s="1043"/>
      <c r="D223" s="1043"/>
      <c r="E223" s="1043"/>
      <c r="F223" s="274" t="s">
        <v>24</v>
      </c>
      <c r="G223" s="393"/>
      <c r="H223" s="1047"/>
      <c r="I223" s="1048"/>
      <c r="J223" s="260"/>
      <c r="K223" s="712"/>
      <c r="L223" s="576"/>
      <c r="M223" s="654"/>
      <c r="N223" s="656"/>
      <c r="O223" s="657"/>
      <c r="P223" s="654"/>
      <c r="Q223" s="654"/>
      <c r="R223" s="654"/>
      <c r="S223" s="654"/>
    </row>
    <row r="224" spans="1:19" s="700" customFormat="1" ht="13.2" customHeight="1">
      <c r="A224" s="1072"/>
      <c r="B224" s="1137"/>
      <c r="C224" s="1043"/>
      <c r="D224" s="1043"/>
      <c r="E224" s="1043"/>
      <c r="F224" s="274" t="s">
        <v>10</v>
      </c>
      <c r="G224" s="391"/>
      <c r="H224" s="1047"/>
      <c r="I224" s="1048"/>
      <c r="J224" s="262"/>
      <c r="K224" s="714"/>
      <c r="L224" s="576"/>
      <c r="M224" s="654"/>
      <c r="N224" s="656"/>
      <c r="O224" s="657"/>
      <c r="P224" s="654"/>
      <c r="Q224" s="654"/>
      <c r="R224" s="654"/>
      <c r="S224" s="654"/>
    </row>
    <row r="225" spans="1:19" s="700" customFormat="1" ht="13.2" customHeight="1">
      <c r="A225" s="1073"/>
      <c r="B225" s="1138"/>
      <c r="C225" s="1044"/>
      <c r="D225" s="1044"/>
      <c r="E225" s="1044"/>
      <c r="F225" s="274" t="s">
        <v>11</v>
      </c>
      <c r="G225" s="392">
        <v>663.40499999999997</v>
      </c>
      <c r="H225" s="1049"/>
      <c r="I225" s="1050"/>
      <c r="J225" s="263"/>
      <c r="K225" s="715"/>
      <c r="L225" s="576"/>
      <c r="M225" s="654"/>
      <c r="N225" s="656"/>
      <c r="O225" s="657"/>
      <c r="P225" s="654"/>
      <c r="Q225" s="654"/>
      <c r="R225" s="654"/>
      <c r="S225" s="654"/>
    </row>
    <row r="226" spans="1:19" s="700" customFormat="1" ht="13.2" customHeight="1">
      <c r="A226" s="1086" t="s">
        <v>802</v>
      </c>
      <c r="B226" s="1136" t="s">
        <v>673</v>
      </c>
      <c r="C226" s="1042" t="s">
        <v>73</v>
      </c>
      <c r="D226" s="1142">
        <v>0.28000000000000003</v>
      </c>
      <c r="E226" s="1042" t="s">
        <v>562</v>
      </c>
      <c r="F226" s="266" t="s">
        <v>4</v>
      </c>
      <c r="G226" s="390">
        <f>G228+G229</f>
        <v>131.858</v>
      </c>
      <c r="H226" s="1045" t="s">
        <v>84</v>
      </c>
      <c r="I226" s="1046"/>
      <c r="J226" s="260"/>
      <c r="K226" s="712"/>
      <c r="L226" s="576"/>
      <c r="M226" s="654"/>
      <c r="N226" s="656"/>
      <c r="O226" s="657"/>
      <c r="P226" s="654"/>
      <c r="Q226" s="654"/>
      <c r="R226" s="654"/>
      <c r="S226" s="654"/>
    </row>
    <row r="227" spans="1:19" s="700" customFormat="1" ht="13.2" customHeight="1">
      <c r="A227" s="1072"/>
      <c r="B227" s="1137"/>
      <c r="C227" s="1043"/>
      <c r="D227" s="1143"/>
      <c r="E227" s="1043"/>
      <c r="F227" s="274" t="s">
        <v>24</v>
      </c>
      <c r="G227" s="390"/>
      <c r="H227" s="1047"/>
      <c r="I227" s="1048"/>
      <c r="J227" s="260"/>
      <c r="K227" s="712"/>
      <c r="L227" s="576"/>
      <c r="M227" s="654"/>
      <c r="N227" s="656"/>
      <c r="O227" s="657"/>
      <c r="P227" s="654"/>
      <c r="Q227" s="654"/>
      <c r="R227" s="654"/>
      <c r="S227" s="654"/>
    </row>
    <row r="228" spans="1:19" s="700" customFormat="1" ht="13.2" customHeight="1">
      <c r="A228" s="1072"/>
      <c r="B228" s="1137"/>
      <c r="C228" s="1043"/>
      <c r="D228" s="1143"/>
      <c r="E228" s="1043"/>
      <c r="F228" s="274" t="s">
        <v>10</v>
      </c>
      <c r="G228" s="391">
        <v>0</v>
      </c>
      <c r="H228" s="1047"/>
      <c r="I228" s="1048"/>
      <c r="J228" s="262"/>
      <c r="K228" s="714"/>
      <c r="L228" s="576"/>
      <c r="M228" s="654"/>
      <c r="N228" s="656"/>
      <c r="O228" s="657"/>
      <c r="P228" s="654"/>
      <c r="Q228" s="654"/>
      <c r="R228" s="654"/>
      <c r="S228" s="654"/>
    </row>
    <row r="229" spans="1:19" s="700" customFormat="1" ht="13.2" customHeight="1">
      <c r="A229" s="1073"/>
      <c r="B229" s="1138"/>
      <c r="C229" s="1044"/>
      <c r="D229" s="1144"/>
      <c r="E229" s="1044"/>
      <c r="F229" s="274" t="s">
        <v>11</v>
      </c>
      <c r="G229" s="392">
        <v>131.858</v>
      </c>
      <c r="H229" s="1049"/>
      <c r="I229" s="1050"/>
      <c r="J229" s="263"/>
      <c r="K229" s="715"/>
      <c r="L229" s="576"/>
      <c r="M229" s="654"/>
      <c r="N229" s="656"/>
      <c r="O229" s="657"/>
      <c r="P229" s="654"/>
      <c r="Q229" s="654"/>
      <c r="R229" s="654"/>
      <c r="S229" s="654"/>
    </row>
    <row r="230" spans="1:19" s="700" customFormat="1" ht="13.2" customHeight="1">
      <c r="A230" s="1086" t="s">
        <v>477</v>
      </c>
      <c r="B230" s="1139" t="s">
        <v>688</v>
      </c>
      <c r="C230" s="1042" t="s">
        <v>73</v>
      </c>
      <c r="D230" s="1142">
        <v>3.5150000000000001</v>
      </c>
      <c r="E230" s="1042" t="s">
        <v>562</v>
      </c>
      <c r="F230" s="266" t="s">
        <v>4</v>
      </c>
      <c r="G230" s="390">
        <f>G232+G233</f>
        <v>1204.086</v>
      </c>
      <c r="H230" s="1045" t="s">
        <v>84</v>
      </c>
      <c r="I230" s="1046"/>
      <c r="J230" s="260"/>
      <c r="K230" s="712"/>
      <c r="L230" s="713"/>
      <c r="M230" s="662"/>
      <c r="N230" s="669"/>
      <c r="O230" s="657"/>
      <c r="P230" s="654"/>
      <c r="Q230" s="654"/>
      <c r="R230" s="654"/>
      <c r="S230" s="654"/>
    </row>
    <row r="231" spans="1:19" s="700" customFormat="1" ht="13.2" customHeight="1">
      <c r="A231" s="1072"/>
      <c r="B231" s="1140"/>
      <c r="C231" s="1043"/>
      <c r="D231" s="1143"/>
      <c r="E231" s="1043"/>
      <c r="F231" s="274" t="s">
        <v>24</v>
      </c>
      <c r="G231" s="390"/>
      <c r="H231" s="1047"/>
      <c r="I231" s="1048"/>
      <c r="J231" s="260"/>
      <c r="K231" s="712"/>
      <c r="L231" s="713"/>
      <c r="M231" s="662"/>
      <c r="N231" s="669"/>
      <c r="O231" s="657"/>
      <c r="P231" s="654"/>
      <c r="Q231" s="654"/>
      <c r="R231" s="654"/>
      <c r="S231" s="654"/>
    </row>
    <row r="232" spans="1:19" s="716" customFormat="1" ht="13.2" customHeight="1">
      <c r="A232" s="1072"/>
      <c r="B232" s="1140"/>
      <c r="C232" s="1043"/>
      <c r="D232" s="1143"/>
      <c r="E232" s="1043"/>
      <c r="F232" s="274" t="s">
        <v>10</v>
      </c>
      <c r="G232" s="391">
        <v>0</v>
      </c>
      <c r="H232" s="1047"/>
      <c r="I232" s="1048"/>
      <c r="J232" s="262"/>
      <c r="K232" s="714"/>
      <c r="L232" s="576"/>
      <c r="M232" s="654"/>
      <c r="N232" s="656"/>
      <c r="O232" s="657"/>
      <c r="P232" s="654"/>
      <c r="Q232" s="654"/>
      <c r="R232" s="654"/>
      <c r="S232" s="654"/>
    </row>
    <row r="233" spans="1:19" s="716" customFormat="1" ht="13.2" customHeight="1">
      <c r="A233" s="1073"/>
      <c r="B233" s="1141"/>
      <c r="C233" s="1044"/>
      <c r="D233" s="1144"/>
      <c r="E233" s="1044"/>
      <c r="F233" s="274" t="s">
        <v>11</v>
      </c>
      <c r="G233" s="392">
        <f>1690.207-388.74784-97.37316</f>
        <v>1204.086</v>
      </c>
      <c r="H233" s="1049"/>
      <c r="I233" s="1050"/>
      <c r="J233" s="263"/>
      <c r="K233" s="715"/>
      <c r="L233" s="576"/>
      <c r="M233" s="654"/>
      <c r="N233" s="656"/>
      <c r="O233" s="657"/>
      <c r="P233" s="654"/>
      <c r="Q233" s="654"/>
      <c r="R233" s="654"/>
      <c r="S233" s="654"/>
    </row>
    <row r="234" spans="1:19" s="716" customFormat="1" ht="13.2" customHeight="1">
      <c r="A234" s="1086" t="s">
        <v>478</v>
      </c>
      <c r="B234" s="1136" t="s">
        <v>721</v>
      </c>
      <c r="C234" s="1042" t="s">
        <v>73</v>
      </c>
      <c r="D234" s="1042">
        <v>0.36499999999999999</v>
      </c>
      <c r="E234" s="1042" t="s">
        <v>562</v>
      </c>
      <c r="F234" s="266" t="s">
        <v>4</v>
      </c>
      <c r="G234" s="390">
        <f>G236+G237</f>
        <v>384.45</v>
      </c>
      <c r="H234" s="1045" t="s">
        <v>84</v>
      </c>
      <c r="I234" s="1046"/>
      <c r="J234" s="260"/>
      <c r="K234" s="712"/>
      <c r="L234" s="576"/>
      <c r="M234" s="654"/>
      <c r="N234" s="656"/>
      <c r="O234" s="657"/>
      <c r="P234" s="654"/>
      <c r="Q234" s="654"/>
      <c r="R234" s="654"/>
      <c r="S234" s="654"/>
    </row>
    <row r="235" spans="1:19" s="716" customFormat="1" ht="13.2" customHeight="1">
      <c r="A235" s="1072"/>
      <c r="B235" s="1137"/>
      <c r="C235" s="1043"/>
      <c r="D235" s="1043"/>
      <c r="E235" s="1043"/>
      <c r="F235" s="274" t="s">
        <v>24</v>
      </c>
      <c r="G235" s="390"/>
      <c r="H235" s="1047"/>
      <c r="I235" s="1048"/>
      <c r="J235" s="260"/>
      <c r="K235" s="712"/>
      <c r="L235" s="576"/>
      <c r="M235" s="654"/>
      <c r="N235" s="656"/>
      <c r="O235" s="657"/>
      <c r="P235" s="654"/>
      <c r="Q235" s="654"/>
      <c r="R235" s="654"/>
      <c r="S235" s="654"/>
    </row>
    <row r="236" spans="1:19" s="716" customFormat="1" ht="13.2" customHeight="1">
      <c r="A236" s="1072"/>
      <c r="B236" s="1137"/>
      <c r="C236" s="1043"/>
      <c r="D236" s="1043"/>
      <c r="E236" s="1043"/>
      <c r="F236" s="274" t="s">
        <v>10</v>
      </c>
      <c r="G236" s="391">
        <v>0</v>
      </c>
      <c r="H236" s="1047"/>
      <c r="I236" s="1048"/>
      <c r="J236" s="262"/>
      <c r="K236" s="714"/>
      <c r="L236" s="576"/>
      <c r="M236" s="662"/>
      <c r="N236" s="656"/>
      <c r="O236" s="657"/>
      <c r="P236" s="654"/>
      <c r="Q236" s="654"/>
      <c r="R236" s="654"/>
      <c r="S236" s="654"/>
    </row>
    <row r="237" spans="1:19" s="716" customFormat="1" ht="13.2" customHeight="1">
      <c r="A237" s="1073"/>
      <c r="B237" s="1138"/>
      <c r="C237" s="1044"/>
      <c r="D237" s="1044"/>
      <c r="E237" s="1044"/>
      <c r="F237" s="274" t="s">
        <v>11</v>
      </c>
      <c r="G237" s="392">
        <v>384.45</v>
      </c>
      <c r="H237" s="1049"/>
      <c r="I237" s="1050"/>
      <c r="J237" s="263"/>
      <c r="K237" s="715"/>
      <c r="L237" s="576"/>
      <c r="M237" s="662"/>
      <c r="N237" s="656"/>
      <c r="O237" s="657"/>
      <c r="P237" s="654"/>
      <c r="Q237" s="654"/>
      <c r="R237" s="654"/>
      <c r="S237" s="654"/>
    </row>
    <row r="238" spans="1:19" s="716" customFormat="1" ht="12" customHeight="1">
      <c r="A238" s="1086" t="s">
        <v>479</v>
      </c>
      <c r="B238" s="1136" t="s">
        <v>938</v>
      </c>
      <c r="C238" s="1042" t="s">
        <v>73</v>
      </c>
      <c r="D238" s="1042">
        <v>0.35</v>
      </c>
      <c r="E238" s="1042" t="s">
        <v>562</v>
      </c>
      <c r="F238" s="266" t="s">
        <v>4</v>
      </c>
      <c r="G238" s="390">
        <f>G240+G241</f>
        <v>350</v>
      </c>
      <c r="H238" s="1045" t="s">
        <v>84</v>
      </c>
      <c r="I238" s="1046"/>
      <c r="J238" s="260"/>
      <c r="K238" s="712"/>
      <c r="L238" s="576"/>
      <c r="M238" s="654"/>
      <c r="N238" s="656"/>
      <c r="O238" s="657"/>
      <c r="P238" s="654"/>
      <c r="Q238" s="654"/>
      <c r="R238" s="654"/>
      <c r="S238" s="654"/>
    </row>
    <row r="239" spans="1:19" s="716" customFormat="1" ht="12" customHeight="1">
      <c r="A239" s="1072"/>
      <c r="B239" s="1137"/>
      <c r="C239" s="1043"/>
      <c r="D239" s="1043"/>
      <c r="E239" s="1043"/>
      <c r="F239" s="274" t="s">
        <v>24</v>
      </c>
      <c r="G239" s="390"/>
      <c r="H239" s="1047"/>
      <c r="I239" s="1048"/>
      <c r="J239" s="260"/>
      <c r="K239" s="712"/>
      <c r="L239" s="576"/>
      <c r="M239" s="654"/>
      <c r="N239" s="656"/>
      <c r="O239" s="657"/>
      <c r="P239" s="654"/>
      <c r="Q239" s="654"/>
      <c r="R239" s="654"/>
      <c r="S239" s="654"/>
    </row>
    <row r="240" spans="1:19" s="716" customFormat="1" ht="12" customHeight="1">
      <c r="A240" s="1072"/>
      <c r="B240" s="1137"/>
      <c r="C240" s="1043"/>
      <c r="D240" s="1043"/>
      <c r="E240" s="1043"/>
      <c r="F240" s="274" t="s">
        <v>10</v>
      </c>
      <c r="G240" s="391">
        <v>0</v>
      </c>
      <c r="H240" s="1047"/>
      <c r="I240" s="1048"/>
      <c r="J240" s="262"/>
      <c r="K240" s="714"/>
      <c r="L240" s="576"/>
      <c r="M240" s="662"/>
      <c r="N240" s="656"/>
      <c r="O240" s="657"/>
      <c r="P240" s="654"/>
      <c r="Q240" s="654"/>
      <c r="R240" s="654"/>
      <c r="S240" s="654"/>
    </row>
    <row r="241" spans="1:19" s="716" customFormat="1" ht="12" customHeight="1">
      <c r="A241" s="1072"/>
      <c r="B241" s="1137"/>
      <c r="C241" s="1043"/>
      <c r="D241" s="1043"/>
      <c r="E241" s="1043"/>
      <c r="F241" s="717" t="s">
        <v>11</v>
      </c>
      <c r="G241" s="718">
        <v>350</v>
      </c>
      <c r="H241" s="1047"/>
      <c r="I241" s="1048"/>
      <c r="J241" s="263"/>
      <c r="K241" s="671"/>
      <c r="L241" s="576"/>
      <c r="M241" s="662"/>
      <c r="N241" s="656"/>
      <c r="O241" s="657"/>
      <c r="P241" s="654"/>
      <c r="Q241" s="654"/>
      <c r="R241" s="654"/>
      <c r="S241" s="654"/>
    </row>
    <row r="242" spans="1:19" s="716" customFormat="1" ht="12" customHeight="1">
      <c r="A242" s="1107" t="s">
        <v>564</v>
      </c>
      <c r="B242" s="1097" t="s">
        <v>837</v>
      </c>
      <c r="C242" s="1042" t="s">
        <v>73</v>
      </c>
      <c r="D242" s="1042">
        <v>0</v>
      </c>
      <c r="E242" s="1042" t="s">
        <v>562</v>
      </c>
      <c r="F242" s="266" t="s">
        <v>4</v>
      </c>
      <c r="G242" s="390">
        <f>G243+G244+G245</f>
        <v>535.08493999999996</v>
      </c>
      <c r="H242" s="1045" t="s">
        <v>84</v>
      </c>
      <c r="I242" s="1115"/>
      <c r="J242" s="263"/>
      <c r="K242" s="671"/>
      <c r="L242" s="576"/>
      <c r="M242" s="662"/>
      <c r="N242" s="656"/>
      <c r="O242" s="657"/>
      <c r="P242" s="654"/>
      <c r="Q242" s="654"/>
      <c r="R242" s="654"/>
      <c r="S242" s="654"/>
    </row>
    <row r="243" spans="1:19" s="716" customFormat="1" ht="12" customHeight="1">
      <c r="A243" s="1108"/>
      <c r="B243" s="1098"/>
      <c r="C243" s="1043"/>
      <c r="D243" s="1043"/>
      <c r="E243" s="1043"/>
      <c r="F243" s="274" t="s">
        <v>24</v>
      </c>
      <c r="G243" s="392">
        <v>0</v>
      </c>
      <c r="H243" s="1047"/>
      <c r="I243" s="1116"/>
      <c r="J243" s="263"/>
      <c r="K243" s="671"/>
      <c r="L243" s="576"/>
      <c r="M243" s="662"/>
      <c r="N243" s="656"/>
      <c r="O243" s="657"/>
      <c r="P243" s="654"/>
      <c r="Q243" s="654"/>
      <c r="R243" s="654"/>
      <c r="S243" s="654"/>
    </row>
    <row r="244" spans="1:19" s="716" customFormat="1" ht="12" customHeight="1">
      <c r="A244" s="1108"/>
      <c r="B244" s="1098"/>
      <c r="C244" s="1043"/>
      <c r="D244" s="1043"/>
      <c r="E244" s="1043"/>
      <c r="F244" s="274" t="s">
        <v>10</v>
      </c>
      <c r="G244" s="392">
        <v>0</v>
      </c>
      <c r="H244" s="1047"/>
      <c r="I244" s="1116"/>
      <c r="J244" s="263"/>
      <c r="K244" s="671"/>
      <c r="L244" s="576"/>
      <c r="M244" s="662"/>
      <c r="N244" s="656"/>
      <c r="O244" s="657"/>
      <c r="P244" s="654"/>
      <c r="Q244" s="654"/>
      <c r="R244" s="654"/>
      <c r="S244" s="654"/>
    </row>
    <row r="245" spans="1:19" s="716" customFormat="1" ht="12" customHeight="1" thickBot="1">
      <c r="A245" s="1109"/>
      <c r="B245" s="1110"/>
      <c r="C245" s="1114"/>
      <c r="D245" s="1114"/>
      <c r="E245" s="1114"/>
      <c r="F245" s="693" t="s">
        <v>11</v>
      </c>
      <c r="G245" s="719">
        <f>885.08494-350</f>
        <v>535.08493999999996</v>
      </c>
      <c r="H245" s="1117"/>
      <c r="I245" s="1118"/>
      <c r="J245" s="263"/>
      <c r="K245" s="671"/>
      <c r="L245" s="576"/>
      <c r="M245" s="662"/>
      <c r="N245" s="656"/>
      <c r="O245" s="657"/>
      <c r="P245" s="654"/>
      <c r="Q245" s="654"/>
      <c r="R245" s="654"/>
      <c r="S245" s="654"/>
    </row>
    <row r="246" spans="1:19" s="716" customFormat="1" ht="14.25" customHeight="1">
      <c r="A246" s="1134" t="s">
        <v>803</v>
      </c>
      <c r="B246" s="1135" t="s">
        <v>754</v>
      </c>
      <c r="C246" s="1127" t="s">
        <v>73</v>
      </c>
      <c r="D246" s="1127">
        <v>1.7450000000000001</v>
      </c>
      <c r="E246" s="1127" t="s">
        <v>562</v>
      </c>
      <c r="F246" s="720" t="s">
        <v>4</v>
      </c>
      <c r="G246" s="721">
        <v>2685.80906</v>
      </c>
      <c r="H246" s="1128" t="s">
        <v>84</v>
      </c>
      <c r="I246" s="1129"/>
      <c r="J246" s="263"/>
      <c r="K246" s="671">
        <f>G246+G250+G254+G258+G262</f>
        <v>102218.86506</v>
      </c>
      <c r="L246" s="576">
        <f>G247+G251+G255+G259+G263</f>
        <v>101600</v>
      </c>
      <c r="M246" s="662"/>
      <c r="N246" s="656"/>
      <c r="O246" s="657"/>
      <c r="P246" s="654"/>
      <c r="Q246" s="654"/>
      <c r="R246" s="654"/>
      <c r="S246" s="654"/>
    </row>
    <row r="247" spans="1:19" s="716" customFormat="1" ht="14.25" customHeight="1">
      <c r="A247" s="1083"/>
      <c r="B247" s="1012"/>
      <c r="C247" s="1043"/>
      <c r="D247" s="1043"/>
      <c r="E247" s="1043"/>
      <c r="F247" s="274" t="s">
        <v>24</v>
      </c>
      <c r="G247" s="392">
        <v>2675.27648</v>
      </c>
      <c r="H247" s="1047"/>
      <c r="I247" s="1116"/>
      <c r="J247" s="263"/>
      <c r="K247" s="671">
        <f>G247+G251+G255+G259+G263</f>
        <v>101600</v>
      </c>
      <c r="L247" s="576"/>
      <c r="M247" s="662"/>
      <c r="N247" s="656"/>
      <c r="O247" s="657"/>
      <c r="P247" s="654"/>
      <c r="Q247" s="654"/>
      <c r="R247" s="654"/>
      <c r="S247" s="654"/>
    </row>
    <row r="248" spans="1:19" s="716" customFormat="1" ht="10.199999999999999" customHeight="1">
      <c r="A248" s="1083"/>
      <c r="B248" s="1012"/>
      <c r="C248" s="1043"/>
      <c r="D248" s="1043"/>
      <c r="E248" s="1043"/>
      <c r="F248" s="274" t="s">
        <v>10</v>
      </c>
      <c r="G248" s="392">
        <v>0</v>
      </c>
      <c r="H248" s="1047"/>
      <c r="I248" s="1116"/>
      <c r="J248" s="263"/>
      <c r="K248" s="671">
        <f t="shared" ref="K248" si="11">G248+G252+G256+G260+G264</f>
        <v>0</v>
      </c>
      <c r="L248" s="576"/>
      <c r="M248" s="662"/>
      <c r="N248" s="656"/>
      <c r="O248" s="657"/>
      <c r="P248" s="654"/>
      <c r="Q248" s="654"/>
      <c r="R248" s="654"/>
      <c r="S248" s="654"/>
    </row>
    <row r="249" spans="1:19" s="716" customFormat="1" ht="14.25" customHeight="1">
      <c r="A249" s="1083"/>
      <c r="B249" s="1012"/>
      <c r="C249" s="1044"/>
      <c r="D249" s="1044"/>
      <c r="E249" s="1044"/>
      <c r="F249" s="274" t="s">
        <v>11</v>
      </c>
      <c r="G249" s="392">
        <f>G246-G247</f>
        <v>10.532580000000053</v>
      </c>
      <c r="H249" s="1049"/>
      <c r="I249" s="1120"/>
      <c r="J249" s="263"/>
      <c r="K249" s="671">
        <f>G249+G253+G257+G261+G265</f>
        <v>618.86505999999451</v>
      </c>
      <c r="L249" s="576" t="s">
        <v>818</v>
      </c>
      <c r="M249" s="662"/>
      <c r="N249" s="656"/>
      <c r="O249" s="657"/>
      <c r="P249" s="654"/>
      <c r="Q249" s="654"/>
      <c r="R249" s="654"/>
      <c r="S249" s="654"/>
    </row>
    <row r="250" spans="1:19" s="716" customFormat="1" ht="13.2" customHeight="1">
      <c r="A250" s="1107" t="s">
        <v>804</v>
      </c>
      <c r="B250" s="1097" t="s">
        <v>755</v>
      </c>
      <c r="C250" s="1042" t="s">
        <v>73</v>
      </c>
      <c r="D250" s="1042">
        <v>0.9</v>
      </c>
      <c r="E250" s="1042" t="s">
        <v>562</v>
      </c>
      <c r="F250" s="266" t="s">
        <v>4</v>
      </c>
      <c r="G250" s="390">
        <v>423.048</v>
      </c>
      <c r="H250" s="1045" t="s">
        <v>84</v>
      </c>
      <c r="I250" s="1115"/>
      <c r="J250" s="263"/>
      <c r="K250" s="671"/>
      <c r="L250" s="576"/>
      <c r="M250" s="662"/>
      <c r="N250" s="656"/>
      <c r="O250" s="657"/>
      <c r="P250" s="654"/>
      <c r="Q250" s="654"/>
      <c r="R250" s="654"/>
      <c r="S250" s="654"/>
    </row>
    <row r="251" spans="1:19" s="716" customFormat="1" ht="13.2" customHeight="1">
      <c r="A251" s="1108"/>
      <c r="B251" s="1098"/>
      <c r="C251" s="1043"/>
      <c r="D251" s="1043"/>
      <c r="E251" s="1043"/>
      <c r="F251" s="274" t="s">
        <v>24</v>
      </c>
      <c r="G251" s="392">
        <v>421.38898999999998</v>
      </c>
      <c r="H251" s="1047"/>
      <c r="I251" s="1116"/>
      <c r="J251" s="263"/>
      <c r="K251" s="722">
        <f>G251/G250</f>
        <v>0.99607843554395714</v>
      </c>
      <c r="L251" s="576"/>
      <c r="M251" s="662"/>
      <c r="N251" s="656"/>
      <c r="O251" s="657"/>
      <c r="P251" s="654"/>
      <c r="Q251" s="654"/>
      <c r="R251" s="654"/>
      <c r="S251" s="654"/>
    </row>
    <row r="252" spans="1:19" s="716" customFormat="1" ht="13.2" customHeight="1">
      <c r="A252" s="1108"/>
      <c r="B252" s="1098"/>
      <c r="C252" s="1043"/>
      <c r="D252" s="1043"/>
      <c r="E252" s="1043"/>
      <c r="F252" s="274" t="s">
        <v>10</v>
      </c>
      <c r="G252" s="392">
        <v>0</v>
      </c>
      <c r="H252" s="1047"/>
      <c r="I252" s="1116"/>
      <c r="J252" s="263"/>
      <c r="K252" s="722"/>
      <c r="L252" s="576"/>
      <c r="M252" s="662"/>
      <c r="N252" s="656"/>
      <c r="O252" s="657"/>
      <c r="P252" s="654"/>
      <c r="Q252" s="654"/>
      <c r="R252" s="654"/>
      <c r="S252" s="654"/>
    </row>
    <row r="253" spans="1:19" s="716" customFormat="1" ht="13.2" customHeight="1">
      <c r="A253" s="1119"/>
      <c r="B253" s="1099"/>
      <c r="C253" s="1044"/>
      <c r="D253" s="1044"/>
      <c r="E253" s="1044"/>
      <c r="F253" s="274" t="s">
        <v>11</v>
      </c>
      <c r="G253" s="392">
        <f>G250-G251</f>
        <v>1.6590100000000234</v>
      </c>
      <c r="H253" s="1049"/>
      <c r="I253" s="1120"/>
      <c r="J253" s="263"/>
      <c r="K253" s="722">
        <f>G253/G250</f>
        <v>3.9215644560428682E-3</v>
      </c>
      <c r="L253" s="576"/>
      <c r="M253" s="662"/>
      <c r="N253" s="656"/>
      <c r="O253" s="657"/>
      <c r="P253" s="654"/>
      <c r="Q253" s="654"/>
      <c r="R253" s="654"/>
      <c r="S253" s="654"/>
    </row>
    <row r="254" spans="1:19" s="716" customFormat="1" ht="14.4" customHeight="1">
      <c r="A254" s="1107" t="s">
        <v>836</v>
      </c>
      <c r="B254" s="1097" t="s">
        <v>776</v>
      </c>
      <c r="C254" s="1042" t="s">
        <v>73</v>
      </c>
      <c r="D254" s="1042">
        <v>1.28</v>
      </c>
      <c r="E254" s="1042" t="s">
        <v>562</v>
      </c>
      <c r="F254" s="266" t="s">
        <v>4</v>
      </c>
      <c r="G254" s="390">
        <v>546.86099999999999</v>
      </c>
      <c r="H254" s="1045" t="s">
        <v>84</v>
      </c>
      <c r="I254" s="1115"/>
      <c r="J254" s="263"/>
      <c r="K254" s="671"/>
      <c r="L254" s="576"/>
      <c r="M254" s="662"/>
      <c r="N254" s="656"/>
      <c r="O254" s="657"/>
      <c r="P254" s="654"/>
      <c r="Q254" s="654"/>
      <c r="R254" s="654"/>
      <c r="S254" s="654"/>
    </row>
    <row r="255" spans="1:19" s="716" customFormat="1" ht="14.4" customHeight="1">
      <c r="A255" s="1108"/>
      <c r="B255" s="1098"/>
      <c r="C255" s="1043"/>
      <c r="D255" s="1043"/>
      <c r="E255" s="1043"/>
      <c r="F255" s="274" t="s">
        <v>24</v>
      </c>
      <c r="G255" s="392">
        <v>544.71645000000001</v>
      </c>
      <c r="H255" s="1047"/>
      <c r="I255" s="1116"/>
      <c r="J255" s="263"/>
      <c r="K255" s="723"/>
      <c r="L255" s="576"/>
      <c r="M255" s="662"/>
      <c r="N255" s="656"/>
      <c r="O255" s="657"/>
      <c r="P255" s="654"/>
      <c r="Q255" s="654"/>
      <c r="R255" s="654"/>
      <c r="S255" s="654"/>
    </row>
    <row r="256" spans="1:19" s="716" customFormat="1" ht="14.4" customHeight="1">
      <c r="A256" s="1108"/>
      <c r="B256" s="1098"/>
      <c r="C256" s="1043"/>
      <c r="D256" s="1043"/>
      <c r="E256" s="1043"/>
      <c r="F256" s="274" t="s">
        <v>10</v>
      </c>
      <c r="G256" s="392">
        <v>0</v>
      </c>
      <c r="H256" s="1047"/>
      <c r="I256" s="1116"/>
      <c r="J256" s="263"/>
      <c r="K256" s="671"/>
      <c r="L256" s="576"/>
      <c r="M256" s="662"/>
      <c r="N256" s="669">
        <f>G247+G251+G255+G259+G263</f>
        <v>101600</v>
      </c>
      <c r="O256" s="669"/>
      <c r="P256" s="654"/>
      <c r="Q256" s="654"/>
      <c r="R256" s="654"/>
      <c r="S256" s="654"/>
    </row>
    <row r="257" spans="1:19" s="716" customFormat="1" ht="14.4" customHeight="1">
      <c r="A257" s="1119"/>
      <c r="B257" s="1099"/>
      <c r="C257" s="1044"/>
      <c r="D257" s="1044"/>
      <c r="E257" s="1044"/>
      <c r="F257" s="274" t="s">
        <v>11</v>
      </c>
      <c r="G257" s="392">
        <f>G254-G255</f>
        <v>2.1445499999999811</v>
      </c>
      <c r="H257" s="1049"/>
      <c r="I257" s="1120"/>
      <c r="J257" s="263"/>
      <c r="K257" s="671"/>
      <c r="L257" s="576"/>
      <c r="M257" s="662"/>
      <c r="N257" s="669">
        <f>G247+G251+G255+G259+N262</f>
        <v>95741.57067999999</v>
      </c>
      <c r="O257" s="657"/>
      <c r="P257" s="654"/>
      <c r="Q257" s="654"/>
      <c r="R257" s="654"/>
      <c r="S257" s="654"/>
    </row>
    <row r="258" spans="1:19" s="716" customFormat="1" ht="12.6" customHeight="1">
      <c r="A258" s="1107" t="s">
        <v>936</v>
      </c>
      <c r="B258" s="1097" t="s">
        <v>791</v>
      </c>
      <c r="C258" s="1042" t="s">
        <v>73</v>
      </c>
      <c r="D258" s="1042">
        <v>0.54500000000000004</v>
      </c>
      <c r="E258" s="1042" t="s">
        <v>562</v>
      </c>
      <c r="F258" s="266" t="s">
        <v>4</v>
      </c>
      <c r="G258" s="390">
        <v>563.14700000000005</v>
      </c>
      <c r="H258" s="1045" t="s">
        <v>84</v>
      </c>
      <c r="I258" s="1115"/>
      <c r="J258" s="263"/>
      <c r="K258" s="673">
        <v>344.28194000000002</v>
      </c>
      <c r="L258" s="576"/>
      <c r="M258" s="662"/>
      <c r="N258" s="656"/>
      <c r="O258" s="657"/>
      <c r="P258" s="654"/>
      <c r="Q258" s="654"/>
      <c r="R258" s="654"/>
      <c r="S258" s="654"/>
    </row>
    <row r="259" spans="1:19" s="716" customFormat="1" ht="12.6" customHeight="1">
      <c r="A259" s="1108"/>
      <c r="B259" s="1098"/>
      <c r="C259" s="1043"/>
      <c r="D259" s="1043"/>
      <c r="E259" s="1043"/>
      <c r="F259" s="274" t="s">
        <v>24</v>
      </c>
      <c r="G259" s="392">
        <v>342.93180999999998</v>
      </c>
      <c r="H259" s="1047"/>
      <c r="I259" s="1116"/>
      <c r="J259" s="263"/>
      <c r="K259" s="675">
        <f>K258*99.607843138%</f>
        <v>342.93181474766334</v>
      </c>
      <c r="L259" s="576"/>
      <c r="M259" s="662"/>
      <c r="N259" s="656"/>
      <c r="O259" s="657"/>
      <c r="P259" s="654"/>
      <c r="Q259" s="654"/>
      <c r="R259" s="654"/>
      <c r="S259" s="654"/>
    </row>
    <row r="260" spans="1:19" s="716" customFormat="1" ht="12.6" customHeight="1">
      <c r="A260" s="1108"/>
      <c r="B260" s="1098"/>
      <c r="C260" s="1043"/>
      <c r="D260" s="1043"/>
      <c r="E260" s="1043"/>
      <c r="F260" s="274" t="s">
        <v>10</v>
      </c>
      <c r="G260" s="392">
        <v>0</v>
      </c>
      <c r="H260" s="1047"/>
      <c r="I260" s="1116"/>
      <c r="J260" s="263"/>
      <c r="K260" s="675">
        <v>0</v>
      </c>
      <c r="L260" s="576"/>
      <c r="M260" s="662"/>
      <c r="N260" s="656"/>
      <c r="O260" s="657"/>
      <c r="P260" s="654"/>
      <c r="Q260" s="654"/>
      <c r="R260" s="654"/>
      <c r="S260" s="654"/>
    </row>
    <row r="261" spans="1:19" s="716" customFormat="1" ht="12.6" customHeight="1">
      <c r="A261" s="1119"/>
      <c r="B261" s="1099"/>
      <c r="C261" s="1044"/>
      <c r="D261" s="1044"/>
      <c r="E261" s="1044"/>
      <c r="F261" s="274" t="s">
        <v>11</v>
      </c>
      <c r="G261" s="392">
        <f>G258-G259</f>
        <v>220.21519000000006</v>
      </c>
      <c r="H261" s="1049"/>
      <c r="I261" s="1120"/>
      <c r="J261" s="263"/>
      <c r="K261" s="675">
        <f>K258-K259</f>
        <v>1.3501252523366816</v>
      </c>
      <c r="L261" s="576">
        <f>G261-K261</f>
        <v>218.86506474766338</v>
      </c>
      <c r="M261" s="662"/>
      <c r="N261" s="704">
        <v>92118.505999999994</v>
      </c>
      <c r="O261" s="657"/>
      <c r="P261" s="654"/>
      <c r="Q261" s="654"/>
      <c r="R261" s="654"/>
      <c r="S261" s="654"/>
    </row>
    <row r="262" spans="1:19" s="716" customFormat="1" ht="13.2" customHeight="1">
      <c r="A262" s="1107" t="s">
        <v>937</v>
      </c>
      <c r="B262" s="1097" t="s">
        <v>837</v>
      </c>
      <c r="C262" s="1042" t="s">
        <v>73</v>
      </c>
      <c r="D262" s="1042">
        <v>15.074999999999999</v>
      </c>
      <c r="E262" s="1042" t="s">
        <v>562</v>
      </c>
      <c r="F262" s="266" t="s">
        <v>4</v>
      </c>
      <c r="G262" s="390">
        <v>98000</v>
      </c>
      <c r="H262" s="1045" t="s">
        <v>84</v>
      </c>
      <c r="I262" s="1115"/>
      <c r="J262" s="263"/>
      <c r="K262" s="673">
        <f>K263+K265</f>
        <v>92118.505999999994</v>
      </c>
      <c r="L262" s="576"/>
      <c r="M262" s="662"/>
      <c r="N262" s="675">
        <v>91757.256949999995</v>
      </c>
      <c r="O262" s="657"/>
      <c r="P262" s="654"/>
      <c r="Q262" s="654"/>
      <c r="R262" s="654"/>
      <c r="S262" s="654"/>
    </row>
    <row r="263" spans="1:19" s="716" customFormat="1" ht="13.2" customHeight="1">
      <c r="A263" s="1108"/>
      <c r="B263" s="1098"/>
      <c r="C263" s="1043"/>
      <c r="D263" s="1043"/>
      <c r="E263" s="1043"/>
      <c r="F263" s="274" t="s">
        <v>24</v>
      </c>
      <c r="G263" s="392">
        <v>97615.686270000006</v>
      </c>
      <c r="H263" s="1047"/>
      <c r="I263" s="1116"/>
      <c r="J263" s="263"/>
      <c r="K263" s="675">
        <f>50040.09973+27932.80931+13784.34791</f>
        <v>91757.256949999995</v>
      </c>
      <c r="L263" s="576"/>
      <c r="M263" s="662"/>
      <c r="N263" s="676"/>
      <c r="O263" s="657"/>
      <c r="P263" s="654"/>
      <c r="Q263" s="654"/>
      <c r="R263" s="654"/>
      <c r="S263" s="654"/>
    </row>
    <row r="264" spans="1:19" s="716" customFormat="1" ht="13.2" customHeight="1">
      <c r="A264" s="1108"/>
      <c r="B264" s="1098"/>
      <c r="C264" s="1043"/>
      <c r="D264" s="1043"/>
      <c r="E264" s="1043"/>
      <c r="F264" s="274" t="s">
        <v>10</v>
      </c>
      <c r="G264" s="392">
        <v>0</v>
      </c>
      <c r="H264" s="1047"/>
      <c r="I264" s="1116"/>
      <c r="J264" s="263"/>
      <c r="K264" s="675"/>
      <c r="L264" s="576"/>
      <c r="M264" s="662"/>
      <c r="N264" s="675">
        <f>N261-N262</f>
        <v>361.24904999999853</v>
      </c>
      <c r="O264" s="657"/>
      <c r="P264" s="654"/>
      <c r="Q264" s="654"/>
      <c r="R264" s="654"/>
      <c r="S264" s="654"/>
    </row>
    <row r="265" spans="1:19" s="716" customFormat="1" ht="13.2" customHeight="1" thickBot="1">
      <c r="A265" s="1109"/>
      <c r="B265" s="1110"/>
      <c r="C265" s="1114"/>
      <c r="D265" s="1114"/>
      <c r="E265" s="1114"/>
      <c r="F265" s="693" t="s">
        <v>11</v>
      </c>
      <c r="G265" s="719">
        <f>G262-G263</f>
        <v>384.31372999999439</v>
      </c>
      <c r="H265" s="1117"/>
      <c r="I265" s="1118"/>
      <c r="J265" s="263"/>
      <c r="K265" s="675">
        <f>197.00827+109.97169+54.26909</f>
        <v>361.24905000000001</v>
      </c>
      <c r="L265" s="576"/>
      <c r="M265" s="662"/>
      <c r="N265" s="656"/>
      <c r="O265" s="657"/>
      <c r="P265" s="654"/>
      <c r="Q265" s="654"/>
      <c r="R265" s="654"/>
      <c r="S265" s="654"/>
    </row>
    <row r="266" spans="1:19" s="716" customFormat="1" ht="13.2" customHeight="1">
      <c r="A266" s="1056">
        <v>4</v>
      </c>
      <c r="B266" s="1101" t="s">
        <v>806</v>
      </c>
      <c r="C266" s="1062" t="s">
        <v>9</v>
      </c>
      <c r="D266" s="1132" t="s">
        <v>9</v>
      </c>
      <c r="E266" s="1043" t="s">
        <v>9</v>
      </c>
      <c r="F266" s="695" t="s">
        <v>4</v>
      </c>
      <c r="G266" s="724">
        <f>G267+G268+G269</f>
        <v>16250.71579</v>
      </c>
      <c r="H266" s="1092" t="s">
        <v>9</v>
      </c>
      <c r="I266" s="1093"/>
      <c r="J266" s="254"/>
      <c r="K266" s="654"/>
      <c r="L266" s="576"/>
      <c r="M266" s="654"/>
      <c r="N266" s="656"/>
      <c r="O266" s="657"/>
      <c r="P266" s="654"/>
      <c r="Q266" s="654"/>
      <c r="R266" s="654"/>
      <c r="S266" s="654"/>
    </row>
    <row r="267" spans="1:19" s="716" customFormat="1" ht="13.2" customHeight="1">
      <c r="A267" s="1056"/>
      <c r="B267" s="1101"/>
      <c r="C267" s="1062"/>
      <c r="D267" s="1132"/>
      <c r="E267" s="1043"/>
      <c r="F267" s="266" t="s">
        <v>24</v>
      </c>
      <c r="G267" s="270">
        <f>G271+G275+G279+G283+G287+G291+G343</f>
        <v>10800</v>
      </c>
      <c r="H267" s="1092"/>
      <c r="I267" s="1093"/>
      <c r="J267" s="254"/>
      <c r="K267" s="654"/>
      <c r="L267" s="576"/>
      <c r="M267" s="654"/>
      <c r="N267" s="656"/>
      <c r="O267" s="657"/>
      <c r="P267" s="654"/>
      <c r="Q267" s="654"/>
      <c r="R267" s="654"/>
      <c r="S267" s="654"/>
    </row>
    <row r="268" spans="1:19" ht="13.2" customHeight="1">
      <c r="A268" s="1056"/>
      <c r="B268" s="1101"/>
      <c r="C268" s="1062"/>
      <c r="D268" s="1132"/>
      <c r="E268" s="1043"/>
      <c r="F268" s="266" t="s">
        <v>10</v>
      </c>
      <c r="G268" s="270">
        <f>G272+G276+G280+G284+G288+G292+G344</f>
        <v>965.47011999999995</v>
      </c>
      <c r="H268" s="1092"/>
      <c r="I268" s="1093"/>
      <c r="K268" s="654"/>
      <c r="L268" s="576"/>
      <c r="M268" s="654"/>
      <c r="N268" s="656"/>
      <c r="O268" s="657"/>
      <c r="P268" s="654"/>
      <c r="Q268" s="654"/>
      <c r="R268" s="654"/>
      <c r="S268" s="654"/>
    </row>
    <row r="269" spans="1:19" ht="13.2" customHeight="1">
      <c r="A269" s="1057"/>
      <c r="B269" s="1102"/>
      <c r="C269" s="1063"/>
      <c r="D269" s="1133"/>
      <c r="E269" s="1044"/>
      <c r="F269" s="266" t="s">
        <v>11</v>
      </c>
      <c r="G269" s="270">
        <f>G273+G277+G281+G285+G289+G293+G345</f>
        <v>4485.2456700000002</v>
      </c>
      <c r="H269" s="1094"/>
      <c r="I269" s="1095"/>
      <c r="K269" s="654"/>
      <c r="L269" s="576"/>
      <c r="M269" s="654"/>
      <c r="N269" s="656"/>
      <c r="O269" s="657"/>
      <c r="P269" s="654"/>
      <c r="Q269" s="654"/>
      <c r="R269" s="654"/>
      <c r="S269" s="654"/>
    </row>
    <row r="270" spans="1:19" ht="13.2" customHeight="1">
      <c r="A270" s="1086" t="s">
        <v>807</v>
      </c>
      <c r="B270" s="1097" t="s">
        <v>915</v>
      </c>
      <c r="C270" s="958" t="s">
        <v>914</v>
      </c>
      <c r="D270" s="1112">
        <v>441.5</v>
      </c>
      <c r="E270" s="1042" t="s">
        <v>517</v>
      </c>
      <c r="F270" s="266" t="s">
        <v>4</v>
      </c>
      <c r="G270" s="390">
        <f>SUM(G271:G273)</f>
        <v>1315.96</v>
      </c>
      <c r="H270" s="1045" t="s">
        <v>84</v>
      </c>
      <c r="I270" s="1046"/>
      <c r="K270" s="654"/>
      <c r="L270" s="1131"/>
      <c r="M270" s="654"/>
      <c r="N270" s="656"/>
      <c r="O270" s="657"/>
      <c r="P270" s="654"/>
      <c r="Q270" s="654"/>
      <c r="R270" s="654"/>
      <c r="S270" s="654"/>
    </row>
    <row r="271" spans="1:19" ht="13.2" customHeight="1">
      <c r="A271" s="1072"/>
      <c r="B271" s="1098"/>
      <c r="C271" s="1096"/>
      <c r="D271" s="1103"/>
      <c r="E271" s="1043"/>
      <c r="F271" s="274" t="s">
        <v>24</v>
      </c>
      <c r="G271" s="390"/>
      <c r="H271" s="1047"/>
      <c r="I271" s="1048"/>
      <c r="K271" s="654"/>
      <c r="L271" s="1131"/>
      <c r="M271" s="654"/>
      <c r="N271" s="656"/>
      <c r="O271" s="657"/>
      <c r="P271" s="654"/>
      <c r="Q271" s="654"/>
      <c r="R271" s="654"/>
      <c r="S271" s="654"/>
    </row>
    <row r="272" spans="1:19" ht="13.2" customHeight="1">
      <c r="A272" s="1072"/>
      <c r="B272" s="1098"/>
      <c r="C272" s="1096"/>
      <c r="D272" s="1103"/>
      <c r="E272" s="1043"/>
      <c r="F272" s="274" t="s">
        <v>10</v>
      </c>
      <c r="G272" s="391">
        <v>0</v>
      </c>
      <c r="H272" s="1047"/>
      <c r="I272" s="1048"/>
      <c r="K272" s="654"/>
      <c r="L272" s="1131"/>
      <c r="M272" s="654"/>
      <c r="N272" s="656"/>
      <c r="O272" s="657"/>
      <c r="P272" s="654"/>
      <c r="Q272" s="654"/>
      <c r="R272" s="654"/>
      <c r="S272" s="654"/>
    </row>
    <row r="273" spans="1:19" ht="13.2" customHeight="1">
      <c r="A273" s="1073"/>
      <c r="B273" s="1099"/>
      <c r="C273" s="959"/>
      <c r="D273" s="1104"/>
      <c r="E273" s="1044"/>
      <c r="F273" s="274" t="s">
        <v>11</v>
      </c>
      <c r="G273" s="718">
        <v>1315.96</v>
      </c>
      <c r="H273" s="1049"/>
      <c r="I273" s="1050"/>
      <c r="K273" s="654"/>
      <c r="L273" s="1131"/>
      <c r="M273" s="654"/>
      <c r="N273" s="656"/>
      <c r="O273" s="657"/>
      <c r="P273" s="654"/>
      <c r="Q273" s="654"/>
      <c r="R273" s="654"/>
      <c r="S273" s="654"/>
    </row>
    <row r="274" spans="1:19" ht="13.2" customHeight="1">
      <c r="A274" s="1086" t="s">
        <v>808</v>
      </c>
      <c r="B274" s="1097" t="s">
        <v>676</v>
      </c>
      <c r="C274" s="958" t="s">
        <v>43</v>
      </c>
      <c r="D274" s="1112">
        <v>20</v>
      </c>
      <c r="E274" s="1042" t="s">
        <v>517</v>
      </c>
      <c r="F274" s="266" t="s">
        <v>4</v>
      </c>
      <c r="G274" s="390">
        <f>SUM(G275:G277)</f>
        <v>720</v>
      </c>
      <c r="H274" s="1045" t="s">
        <v>87</v>
      </c>
      <c r="I274" s="1046"/>
      <c r="K274" s="654"/>
      <c r="L274" s="725"/>
      <c r="M274" s="654"/>
      <c r="N274" s="656"/>
      <c r="O274" s="657"/>
      <c r="P274" s="654"/>
      <c r="Q274" s="654"/>
      <c r="R274" s="654"/>
      <c r="S274" s="654"/>
    </row>
    <row r="275" spans="1:19" ht="13.2" customHeight="1">
      <c r="A275" s="1072"/>
      <c r="B275" s="1098"/>
      <c r="C275" s="1096"/>
      <c r="D275" s="1103"/>
      <c r="E275" s="1043"/>
      <c r="F275" s="274" t="s">
        <v>24</v>
      </c>
      <c r="G275" s="390"/>
      <c r="H275" s="1047"/>
      <c r="I275" s="1048"/>
      <c r="K275" s="654"/>
      <c r="L275" s="725"/>
      <c r="M275" s="654"/>
      <c r="N275" s="656"/>
      <c r="O275" s="657"/>
      <c r="P275" s="654"/>
      <c r="Q275" s="654"/>
      <c r="R275" s="654"/>
      <c r="S275" s="654"/>
    </row>
    <row r="276" spans="1:19" ht="13.2" customHeight="1">
      <c r="A276" s="1072"/>
      <c r="B276" s="1098"/>
      <c r="C276" s="1096"/>
      <c r="D276" s="1103"/>
      <c r="E276" s="1043"/>
      <c r="F276" s="274" t="s">
        <v>10</v>
      </c>
      <c r="G276" s="391">
        <v>0</v>
      </c>
      <c r="H276" s="1047"/>
      <c r="I276" s="1048"/>
      <c r="K276" s="654"/>
      <c r="L276" s="725"/>
      <c r="M276" s="654"/>
      <c r="N276" s="656"/>
      <c r="O276" s="657"/>
      <c r="P276" s="654"/>
      <c r="Q276" s="654"/>
      <c r="R276" s="654"/>
      <c r="S276" s="654"/>
    </row>
    <row r="277" spans="1:19" ht="13.2" customHeight="1">
      <c r="A277" s="1073"/>
      <c r="B277" s="1099"/>
      <c r="C277" s="959"/>
      <c r="D277" s="1104"/>
      <c r="E277" s="1044"/>
      <c r="F277" s="274" t="s">
        <v>11</v>
      </c>
      <c r="G277" s="718">
        <v>720</v>
      </c>
      <c r="H277" s="1049"/>
      <c r="I277" s="1050"/>
      <c r="K277" s="654"/>
      <c r="L277" s="725"/>
      <c r="M277" s="654"/>
      <c r="N277" s="656"/>
      <c r="O277" s="657"/>
      <c r="P277" s="654"/>
      <c r="Q277" s="654"/>
      <c r="R277" s="654"/>
      <c r="S277" s="654"/>
    </row>
    <row r="278" spans="1:19" ht="13.2" hidden="1" customHeight="1">
      <c r="A278" s="1086"/>
      <c r="B278" s="1130"/>
      <c r="C278" s="958"/>
      <c r="D278" s="1112"/>
      <c r="E278" s="1042" t="s">
        <v>517</v>
      </c>
      <c r="F278" s="266" t="s">
        <v>4</v>
      </c>
      <c r="G278" s="390">
        <f>SUM(G279:G281)</f>
        <v>0</v>
      </c>
      <c r="H278" s="1045"/>
      <c r="I278" s="1046"/>
      <c r="K278" s="654"/>
      <c r="L278" s="725"/>
      <c r="M278" s="654"/>
      <c r="N278" s="656"/>
      <c r="O278" s="657"/>
      <c r="P278" s="654"/>
      <c r="Q278" s="654"/>
      <c r="R278" s="654"/>
      <c r="S278" s="654"/>
    </row>
    <row r="279" spans="1:19" ht="13.2" hidden="1" customHeight="1">
      <c r="A279" s="1072"/>
      <c r="B279" s="1122"/>
      <c r="C279" s="1096"/>
      <c r="D279" s="1103"/>
      <c r="E279" s="1043"/>
      <c r="F279" s="274" t="s">
        <v>24</v>
      </c>
      <c r="G279" s="390"/>
      <c r="H279" s="1047"/>
      <c r="I279" s="1048"/>
      <c r="K279" s="654"/>
      <c r="L279" s="725"/>
      <c r="M279" s="654"/>
      <c r="N279" s="656"/>
      <c r="O279" s="657"/>
      <c r="P279" s="654"/>
      <c r="Q279" s="654"/>
      <c r="R279" s="654"/>
      <c r="S279" s="654"/>
    </row>
    <row r="280" spans="1:19" ht="13.2" hidden="1" customHeight="1">
      <c r="A280" s="1072"/>
      <c r="B280" s="1122"/>
      <c r="C280" s="1096"/>
      <c r="D280" s="1103"/>
      <c r="E280" s="1043"/>
      <c r="F280" s="274" t="s">
        <v>10</v>
      </c>
      <c r="G280" s="391">
        <v>0</v>
      </c>
      <c r="H280" s="1047"/>
      <c r="I280" s="1048"/>
      <c r="K280" s="654"/>
      <c r="L280" s="725"/>
      <c r="M280" s="654"/>
      <c r="N280" s="656"/>
      <c r="O280" s="657"/>
      <c r="P280" s="654"/>
      <c r="Q280" s="654"/>
      <c r="R280" s="654"/>
      <c r="S280" s="654"/>
    </row>
    <row r="281" spans="1:19" ht="13.2" hidden="1" customHeight="1">
      <c r="A281" s="1073"/>
      <c r="B281" s="1123"/>
      <c r="C281" s="959"/>
      <c r="D281" s="1104"/>
      <c r="E281" s="1044"/>
      <c r="F281" s="274" t="s">
        <v>11</v>
      </c>
      <c r="G281" s="718">
        <v>0</v>
      </c>
      <c r="H281" s="1049"/>
      <c r="I281" s="1050"/>
      <c r="K281" s="654"/>
      <c r="L281" s="725"/>
      <c r="M281" s="654"/>
      <c r="N281" s="656"/>
      <c r="O281" s="657"/>
      <c r="P281" s="654"/>
      <c r="Q281" s="654"/>
      <c r="R281" s="654"/>
      <c r="S281" s="654"/>
    </row>
    <row r="282" spans="1:19" ht="13.2" customHeight="1">
      <c r="A282" s="1086" t="s">
        <v>809</v>
      </c>
      <c r="B282" s="1097" t="s">
        <v>684</v>
      </c>
      <c r="C282" s="958" t="s">
        <v>215</v>
      </c>
      <c r="D282" s="1112">
        <v>1150</v>
      </c>
      <c r="E282" s="1042" t="s">
        <v>517</v>
      </c>
      <c r="F282" s="266" t="s">
        <v>4</v>
      </c>
      <c r="G282" s="390">
        <f>SUM(G283:G285)</f>
        <v>1161.8</v>
      </c>
      <c r="H282" s="1045" t="s">
        <v>87</v>
      </c>
      <c r="I282" s="1046"/>
      <c r="K282" s="654"/>
      <c r="L282" s="725"/>
      <c r="M282" s="654"/>
      <c r="N282" s="656"/>
      <c r="O282" s="657"/>
      <c r="P282" s="654"/>
      <c r="Q282" s="654"/>
      <c r="R282" s="654"/>
      <c r="S282" s="654"/>
    </row>
    <row r="283" spans="1:19" ht="13.2" customHeight="1">
      <c r="A283" s="1072"/>
      <c r="B283" s="1098"/>
      <c r="C283" s="1096"/>
      <c r="D283" s="1103"/>
      <c r="E283" s="1043"/>
      <c r="F283" s="274" t="s">
        <v>24</v>
      </c>
      <c r="G283" s="390"/>
      <c r="H283" s="1047"/>
      <c r="I283" s="1048"/>
      <c r="K283" s="654"/>
      <c r="L283" s="725"/>
      <c r="M283" s="654"/>
      <c r="N283" s="656"/>
      <c r="O283" s="657"/>
      <c r="P283" s="654"/>
      <c r="Q283" s="654"/>
      <c r="R283" s="654"/>
      <c r="S283" s="654"/>
    </row>
    <row r="284" spans="1:19" s="716" customFormat="1" ht="13.2" customHeight="1">
      <c r="A284" s="1072"/>
      <c r="B284" s="1098"/>
      <c r="C284" s="1096"/>
      <c r="D284" s="1103"/>
      <c r="E284" s="1043"/>
      <c r="F284" s="274" t="s">
        <v>10</v>
      </c>
      <c r="G284" s="726">
        <v>965.47011999999995</v>
      </c>
      <c r="H284" s="1047"/>
      <c r="I284" s="1048"/>
      <c r="J284" s="254"/>
      <c r="K284" s="654"/>
      <c r="L284" s="725"/>
      <c r="M284" s="654"/>
      <c r="N284" s="656"/>
      <c r="O284" s="657"/>
      <c r="P284" s="654"/>
      <c r="Q284" s="654"/>
      <c r="R284" s="654"/>
      <c r="S284" s="654"/>
    </row>
    <row r="285" spans="1:19" s="716" customFormat="1" ht="13.2" customHeight="1" thickBot="1">
      <c r="A285" s="1073"/>
      <c r="B285" s="1099"/>
      <c r="C285" s="959"/>
      <c r="D285" s="1104"/>
      <c r="E285" s="1044"/>
      <c r="F285" s="274" t="s">
        <v>11</v>
      </c>
      <c r="G285" s="726">
        <v>196.32988</v>
      </c>
      <c r="H285" s="1049"/>
      <c r="I285" s="1050"/>
      <c r="J285" s="254"/>
      <c r="K285" s="654"/>
      <c r="L285" s="725"/>
      <c r="M285" s="654"/>
      <c r="N285" s="656"/>
      <c r="O285" s="657"/>
      <c r="P285" s="654"/>
      <c r="Q285" s="654"/>
      <c r="R285" s="654"/>
      <c r="S285" s="654"/>
    </row>
    <row r="286" spans="1:19" s="716" customFormat="1" ht="13.2" hidden="1" customHeight="1">
      <c r="A286" s="1086"/>
      <c r="B286" s="1097" t="s">
        <v>711</v>
      </c>
      <c r="C286" s="958"/>
      <c r="D286" s="1112"/>
      <c r="E286" s="1042" t="s">
        <v>517</v>
      </c>
      <c r="F286" s="266" t="s">
        <v>4</v>
      </c>
      <c r="G286" s="390">
        <f>SUM(G287:G289)</f>
        <v>0</v>
      </c>
      <c r="H286" s="1045" t="s">
        <v>87</v>
      </c>
      <c r="I286" s="1046"/>
      <c r="J286" s="254"/>
      <c r="K286" s="654"/>
      <c r="L286" s="725"/>
      <c r="M286" s="654"/>
      <c r="N286" s="656"/>
      <c r="O286" s="657"/>
      <c r="P286" s="654"/>
      <c r="Q286" s="654"/>
      <c r="R286" s="654"/>
      <c r="S286" s="654"/>
    </row>
    <row r="287" spans="1:19" s="716" customFormat="1" ht="13.2" hidden="1" customHeight="1">
      <c r="A287" s="1072"/>
      <c r="B287" s="1098"/>
      <c r="C287" s="1096"/>
      <c r="D287" s="1103"/>
      <c r="E287" s="1043"/>
      <c r="F287" s="274" t="s">
        <v>24</v>
      </c>
      <c r="G287" s="270"/>
      <c r="H287" s="1047"/>
      <c r="I287" s="1048"/>
      <c r="J287" s="254"/>
      <c r="K287" s="654"/>
      <c r="L287" s="725"/>
      <c r="M287" s="654"/>
      <c r="N287" s="656"/>
      <c r="O287" s="657"/>
      <c r="P287" s="654"/>
      <c r="Q287" s="654"/>
      <c r="R287" s="654"/>
      <c r="S287" s="654"/>
    </row>
    <row r="288" spans="1:19" s="716" customFormat="1" ht="13.2" hidden="1" customHeight="1">
      <c r="A288" s="1072"/>
      <c r="B288" s="1098"/>
      <c r="C288" s="1096"/>
      <c r="D288" s="1103"/>
      <c r="E288" s="1043"/>
      <c r="F288" s="274" t="s">
        <v>10</v>
      </c>
      <c r="G288" s="275"/>
      <c r="H288" s="1047"/>
      <c r="I288" s="1048"/>
      <c r="J288" s="254"/>
      <c r="K288" s="654"/>
      <c r="L288" s="725"/>
      <c r="M288" s="654"/>
      <c r="N288" s="656"/>
      <c r="O288" s="657"/>
      <c r="P288" s="654"/>
      <c r="Q288" s="654"/>
      <c r="R288" s="654"/>
      <c r="S288" s="654"/>
    </row>
    <row r="289" spans="1:19" s="716" customFormat="1" ht="13.2" hidden="1" customHeight="1" thickBot="1">
      <c r="A289" s="1072"/>
      <c r="B289" s="1098"/>
      <c r="C289" s="1096"/>
      <c r="D289" s="1103"/>
      <c r="E289" s="1043"/>
      <c r="F289" s="717" t="s">
        <v>11</v>
      </c>
      <c r="G289" s="727">
        <v>0</v>
      </c>
      <c r="H289" s="1047"/>
      <c r="I289" s="1048"/>
      <c r="J289" s="254"/>
      <c r="K289" s="654" t="s">
        <v>884</v>
      </c>
      <c r="L289" s="725"/>
      <c r="M289" s="654"/>
      <c r="N289" s="656"/>
      <c r="O289" s="657"/>
      <c r="P289" s="654"/>
      <c r="Q289" s="654"/>
      <c r="R289" s="654"/>
      <c r="S289" s="654"/>
    </row>
    <row r="290" spans="1:19" s="716" customFormat="1" ht="13.2" customHeight="1">
      <c r="A290" s="1125" t="s">
        <v>895</v>
      </c>
      <c r="B290" s="1126" t="s">
        <v>711</v>
      </c>
      <c r="C290" s="1127" t="s">
        <v>9</v>
      </c>
      <c r="D290" s="1127" t="s">
        <v>9</v>
      </c>
      <c r="E290" s="1127" t="s">
        <v>562</v>
      </c>
      <c r="F290" s="720" t="s">
        <v>4</v>
      </c>
      <c r="G290" s="721">
        <f>G291+G292+G293</f>
        <v>12002.95579</v>
      </c>
      <c r="H290" s="1128" t="s">
        <v>87</v>
      </c>
      <c r="I290" s="1129"/>
      <c r="J290" s="263"/>
      <c r="K290" s="671">
        <v>12000</v>
      </c>
      <c r="L290" s="576"/>
      <c r="M290" s="662"/>
      <c r="N290" s="656"/>
      <c r="O290" s="657"/>
      <c r="P290" s="654"/>
      <c r="Q290" s="654"/>
      <c r="R290" s="654"/>
      <c r="S290" s="654"/>
    </row>
    <row r="291" spans="1:19" s="716" customFormat="1" ht="13.2" customHeight="1">
      <c r="A291" s="1108"/>
      <c r="B291" s="1098"/>
      <c r="C291" s="1043"/>
      <c r="D291" s="1043"/>
      <c r="E291" s="1043"/>
      <c r="F291" s="266" t="s">
        <v>24</v>
      </c>
      <c r="G291" s="390">
        <f>G295+G299+G303+G307+G311+G315+G319+G327+G323+G331+G335+G339</f>
        <v>10800</v>
      </c>
      <c r="H291" s="1047"/>
      <c r="I291" s="1116"/>
      <c r="J291" s="263"/>
      <c r="K291" s="671">
        <v>10800</v>
      </c>
      <c r="L291" s="655">
        <f>G295+G299+G303+G307+G311+G315+G319+G323+G327+G331+G335+G339</f>
        <v>10800</v>
      </c>
      <c r="M291" s="662"/>
      <c r="N291" s="656"/>
      <c r="O291" s="657"/>
      <c r="P291" s="654"/>
      <c r="Q291" s="654"/>
      <c r="R291" s="654"/>
      <c r="S291" s="654"/>
    </row>
    <row r="292" spans="1:19" s="716" customFormat="1" ht="13.2" customHeight="1">
      <c r="A292" s="1108"/>
      <c r="B292" s="1098"/>
      <c r="C292" s="1043"/>
      <c r="D292" s="1043"/>
      <c r="E292" s="1043"/>
      <c r="F292" s="266" t="s">
        <v>10</v>
      </c>
      <c r="G292" s="390">
        <f t="shared" ref="G292:G293" si="12">G296+G300+G304+G308+G312+G316+G320+G328+G324+G332+G336+G340</f>
        <v>0</v>
      </c>
      <c r="H292" s="1047"/>
      <c r="I292" s="1116"/>
      <c r="J292" s="263"/>
      <c r="K292" s="671"/>
      <c r="L292" s="576"/>
      <c r="M292" s="662"/>
      <c r="N292" s="656"/>
      <c r="O292" s="657"/>
      <c r="P292" s="654"/>
      <c r="Q292" s="654"/>
      <c r="R292" s="654"/>
      <c r="S292" s="654"/>
    </row>
    <row r="293" spans="1:19" s="716" customFormat="1" ht="13.2" customHeight="1">
      <c r="A293" s="1119"/>
      <c r="B293" s="1099"/>
      <c r="C293" s="1044"/>
      <c r="D293" s="1044"/>
      <c r="E293" s="1044"/>
      <c r="F293" s="266" t="s">
        <v>11</v>
      </c>
      <c r="G293" s="390">
        <f t="shared" si="12"/>
        <v>1202.95579</v>
      </c>
      <c r="H293" s="1049"/>
      <c r="I293" s="1120"/>
      <c r="J293" s="263"/>
      <c r="K293" s="671"/>
      <c r="L293" s="576"/>
      <c r="M293" s="662"/>
      <c r="N293" s="656"/>
      <c r="O293" s="657"/>
      <c r="P293" s="654"/>
      <c r="Q293" s="654"/>
      <c r="R293" s="654"/>
      <c r="S293" s="654"/>
    </row>
    <row r="294" spans="1:19" s="716" customFormat="1" ht="13.2" customHeight="1">
      <c r="A294" s="1107" t="s">
        <v>896</v>
      </c>
      <c r="B294" s="1097" t="s">
        <v>792</v>
      </c>
      <c r="C294" s="958" t="s">
        <v>43</v>
      </c>
      <c r="D294" s="1112">
        <v>8</v>
      </c>
      <c r="E294" s="1042" t="s">
        <v>517</v>
      </c>
      <c r="F294" s="266" t="s">
        <v>4</v>
      </c>
      <c r="G294" s="390">
        <v>1320</v>
      </c>
      <c r="H294" s="1045" t="s">
        <v>87</v>
      </c>
      <c r="I294" s="1115"/>
      <c r="J294" s="263"/>
      <c r="K294" s="671"/>
      <c r="L294" s="673">
        <v>1320</v>
      </c>
      <c r="M294" s="662"/>
      <c r="N294" s="656"/>
      <c r="O294" s="657"/>
      <c r="P294" s="654"/>
      <c r="Q294" s="654"/>
      <c r="R294" s="654"/>
      <c r="S294" s="654"/>
    </row>
    <row r="295" spans="1:19" s="716" customFormat="1" ht="13.2" customHeight="1">
      <c r="A295" s="1108"/>
      <c r="B295" s="1098"/>
      <c r="C295" s="1096"/>
      <c r="D295" s="1103"/>
      <c r="E295" s="1043"/>
      <c r="F295" s="274" t="s">
        <v>24</v>
      </c>
      <c r="G295" s="276">
        <f>ROUND(G294*90%,5)</f>
        <v>1188</v>
      </c>
      <c r="H295" s="1047"/>
      <c r="I295" s="1116"/>
      <c r="J295" s="263"/>
      <c r="K295" s="671"/>
      <c r="L295" s="675">
        <f>ROUND(L294*90%,5)</f>
        <v>1188</v>
      </c>
      <c r="M295" s="662"/>
      <c r="N295" s="656"/>
      <c r="O295" s="657"/>
      <c r="P295" s="654"/>
      <c r="Q295" s="654"/>
      <c r="R295" s="654"/>
      <c r="S295" s="654"/>
    </row>
    <row r="296" spans="1:19" s="716" customFormat="1" ht="13.2" customHeight="1">
      <c r="A296" s="1108"/>
      <c r="B296" s="1098"/>
      <c r="C296" s="1096"/>
      <c r="D296" s="1103"/>
      <c r="E296" s="1043"/>
      <c r="F296" s="274" t="s">
        <v>10</v>
      </c>
      <c r="G296" s="392"/>
      <c r="H296" s="1047"/>
      <c r="I296" s="1116"/>
      <c r="J296" s="263"/>
      <c r="K296" s="671"/>
      <c r="L296" s="675"/>
      <c r="M296" s="662"/>
      <c r="N296" s="656"/>
      <c r="O296" s="657"/>
      <c r="P296" s="654"/>
      <c r="Q296" s="654"/>
      <c r="R296" s="654"/>
      <c r="S296" s="654"/>
    </row>
    <row r="297" spans="1:19" s="716" customFormat="1" ht="13.2" customHeight="1">
      <c r="A297" s="1119"/>
      <c r="B297" s="1099"/>
      <c r="C297" s="959"/>
      <c r="D297" s="1104"/>
      <c r="E297" s="1044"/>
      <c r="F297" s="274" t="s">
        <v>11</v>
      </c>
      <c r="G297" s="276">
        <f>G294-G295</f>
        <v>132</v>
      </c>
      <c r="H297" s="1049"/>
      <c r="I297" s="1120"/>
      <c r="J297" s="263"/>
      <c r="K297" s="671"/>
      <c r="L297" s="675">
        <f>L294-L295</f>
        <v>132</v>
      </c>
      <c r="M297" s="662"/>
      <c r="N297" s="656"/>
      <c r="O297" s="657"/>
      <c r="P297" s="654"/>
      <c r="Q297" s="654"/>
      <c r="R297" s="654"/>
      <c r="S297" s="654"/>
    </row>
    <row r="298" spans="1:19" s="716" customFormat="1" ht="13.2" customHeight="1">
      <c r="A298" s="1107" t="s">
        <v>897</v>
      </c>
      <c r="B298" s="1097" t="s">
        <v>793</v>
      </c>
      <c r="C298" s="958" t="s">
        <v>73</v>
      </c>
      <c r="D298" s="1112">
        <v>0.26</v>
      </c>
      <c r="E298" s="1042" t="s">
        <v>517</v>
      </c>
      <c r="F298" s="266" t="s">
        <v>4</v>
      </c>
      <c r="G298" s="390">
        <v>773.32735000000002</v>
      </c>
      <c r="H298" s="1045" t="s">
        <v>87</v>
      </c>
      <c r="I298" s="1115"/>
      <c r="J298" s="263"/>
      <c r="K298" s="671"/>
      <c r="L298" s="673">
        <v>773.32735000000002</v>
      </c>
      <c r="M298" s="662"/>
      <c r="N298" s="656"/>
      <c r="O298" s="657"/>
      <c r="P298" s="654"/>
      <c r="Q298" s="654"/>
      <c r="R298" s="654"/>
      <c r="S298" s="654"/>
    </row>
    <row r="299" spans="1:19" s="716" customFormat="1" ht="13.2" customHeight="1">
      <c r="A299" s="1108"/>
      <c r="B299" s="1098"/>
      <c r="C299" s="1096"/>
      <c r="D299" s="1103"/>
      <c r="E299" s="1043"/>
      <c r="F299" s="274" t="s">
        <v>24</v>
      </c>
      <c r="G299" s="276">
        <f>ROUND(G298*90%,5)</f>
        <v>695.99462000000005</v>
      </c>
      <c r="H299" s="1047"/>
      <c r="I299" s="1116"/>
      <c r="J299" s="263"/>
      <c r="K299" s="671"/>
      <c r="L299" s="675">
        <f>ROUND(L298*90%,5)</f>
        <v>695.99462000000005</v>
      </c>
      <c r="M299" s="662"/>
      <c r="N299" s="656"/>
      <c r="O299" s="657"/>
      <c r="P299" s="654"/>
      <c r="Q299" s="654"/>
      <c r="R299" s="654"/>
      <c r="S299" s="654"/>
    </row>
    <row r="300" spans="1:19" s="716" customFormat="1" ht="13.2" customHeight="1">
      <c r="A300" s="1108"/>
      <c r="B300" s="1098"/>
      <c r="C300" s="1096"/>
      <c r="D300" s="1103"/>
      <c r="E300" s="1043"/>
      <c r="F300" s="274" t="s">
        <v>10</v>
      </c>
      <c r="G300" s="392"/>
      <c r="H300" s="1047"/>
      <c r="I300" s="1116"/>
      <c r="J300" s="263"/>
      <c r="K300" s="671"/>
      <c r="L300" s="675"/>
      <c r="M300" s="662"/>
      <c r="N300" s="656"/>
      <c r="O300" s="657"/>
      <c r="P300" s="654"/>
      <c r="Q300" s="654"/>
      <c r="R300" s="654"/>
      <c r="S300" s="654"/>
    </row>
    <row r="301" spans="1:19" s="716" customFormat="1" ht="13.2" customHeight="1">
      <c r="A301" s="1119"/>
      <c r="B301" s="1099"/>
      <c r="C301" s="959"/>
      <c r="D301" s="1104"/>
      <c r="E301" s="1044"/>
      <c r="F301" s="274" t="s">
        <v>11</v>
      </c>
      <c r="G301" s="276">
        <f>G298-G299</f>
        <v>77.33272999999997</v>
      </c>
      <c r="H301" s="1049"/>
      <c r="I301" s="1120"/>
      <c r="J301" s="263"/>
      <c r="K301" s="671"/>
      <c r="L301" s="675">
        <f>L298-L299</f>
        <v>77.33272999999997</v>
      </c>
      <c r="M301" s="662"/>
      <c r="N301" s="656"/>
      <c r="O301" s="657"/>
      <c r="P301" s="654"/>
      <c r="Q301" s="654"/>
      <c r="R301" s="654"/>
      <c r="S301" s="654"/>
    </row>
    <row r="302" spans="1:19" s="716" customFormat="1" ht="13.2" customHeight="1">
      <c r="A302" s="1107" t="s">
        <v>898</v>
      </c>
      <c r="B302" s="1097" t="s">
        <v>796</v>
      </c>
      <c r="C302" s="958" t="s">
        <v>215</v>
      </c>
      <c r="D302" s="1112">
        <v>640</v>
      </c>
      <c r="E302" s="1042" t="s">
        <v>517</v>
      </c>
      <c r="F302" s="266" t="s">
        <v>4</v>
      </c>
      <c r="G302" s="390">
        <v>1283.182</v>
      </c>
      <c r="H302" s="1045" t="s">
        <v>87</v>
      </c>
      <c r="I302" s="1115"/>
      <c r="J302" s="263"/>
      <c r="K302" s="671"/>
      <c r="L302" s="673">
        <v>1283.182</v>
      </c>
      <c r="M302" s="662"/>
      <c r="N302" s="656"/>
      <c r="O302" s="657"/>
      <c r="P302" s="654"/>
      <c r="Q302" s="654"/>
      <c r="R302" s="654"/>
      <c r="S302" s="654"/>
    </row>
    <row r="303" spans="1:19" s="716" customFormat="1" ht="13.2" customHeight="1">
      <c r="A303" s="1108"/>
      <c r="B303" s="1098"/>
      <c r="C303" s="1096"/>
      <c r="D303" s="1103"/>
      <c r="E303" s="1043"/>
      <c r="F303" s="274" t="s">
        <v>24</v>
      </c>
      <c r="G303" s="276">
        <f>ROUND(G302*90%,5)</f>
        <v>1154.8638000000001</v>
      </c>
      <c r="H303" s="1047"/>
      <c r="I303" s="1116"/>
      <c r="J303" s="263"/>
      <c r="K303" s="671"/>
      <c r="L303" s="675">
        <f>ROUND(L302*90%,5)</f>
        <v>1154.8638000000001</v>
      </c>
      <c r="M303" s="662"/>
      <c r="N303" s="656"/>
      <c r="O303" s="657"/>
      <c r="P303" s="654"/>
      <c r="Q303" s="654"/>
      <c r="R303" s="654"/>
      <c r="S303" s="654"/>
    </row>
    <row r="304" spans="1:19" s="716" customFormat="1" ht="12" customHeight="1">
      <c r="A304" s="1108"/>
      <c r="B304" s="1098"/>
      <c r="C304" s="1096"/>
      <c r="D304" s="1103"/>
      <c r="E304" s="1043"/>
      <c r="F304" s="274" t="s">
        <v>10</v>
      </c>
      <c r="G304" s="392"/>
      <c r="H304" s="1047"/>
      <c r="I304" s="1116"/>
      <c r="J304" s="263"/>
      <c r="K304" s="671"/>
      <c r="L304" s="675"/>
      <c r="M304" s="662"/>
      <c r="N304" s="656"/>
      <c r="O304" s="657"/>
      <c r="P304" s="654"/>
      <c r="Q304" s="654"/>
      <c r="R304" s="654"/>
      <c r="S304" s="654"/>
    </row>
    <row r="305" spans="1:19" s="716" customFormat="1" ht="13.2" customHeight="1">
      <c r="A305" s="1119"/>
      <c r="B305" s="1099"/>
      <c r="C305" s="959"/>
      <c r="D305" s="1104"/>
      <c r="E305" s="1044"/>
      <c r="F305" s="274" t="s">
        <v>11</v>
      </c>
      <c r="G305" s="276">
        <f>G302-G303</f>
        <v>128.31819999999993</v>
      </c>
      <c r="H305" s="1049"/>
      <c r="I305" s="1120"/>
      <c r="J305" s="263"/>
      <c r="K305" s="671"/>
      <c r="L305" s="675">
        <f>L302-L303</f>
        <v>128.31819999999993</v>
      </c>
      <c r="M305" s="662"/>
      <c r="N305" s="656"/>
      <c r="O305" s="657"/>
      <c r="P305" s="654"/>
      <c r="Q305" s="654"/>
      <c r="R305" s="654"/>
      <c r="S305" s="654"/>
    </row>
    <row r="306" spans="1:19" s="716" customFormat="1" ht="13.2" customHeight="1">
      <c r="A306" s="1107" t="s">
        <v>899</v>
      </c>
      <c r="B306" s="1097" t="s">
        <v>794</v>
      </c>
      <c r="C306" s="958" t="s">
        <v>215</v>
      </c>
      <c r="D306" s="1112">
        <v>674.7</v>
      </c>
      <c r="E306" s="1042" t="s">
        <v>517</v>
      </c>
      <c r="F306" s="266" t="s">
        <v>4</v>
      </c>
      <c r="G306" s="390">
        <v>1650.329</v>
      </c>
      <c r="H306" s="1045" t="s">
        <v>87</v>
      </c>
      <c r="I306" s="1115"/>
      <c r="J306" s="263"/>
      <c r="K306" s="671"/>
      <c r="L306" s="673">
        <v>1700.3040000000001</v>
      </c>
      <c r="M306" s="662"/>
      <c r="N306" s="656"/>
      <c r="O306" s="657"/>
      <c r="P306" s="654"/>
      <c r="Q306" s="654"/>
      <c r="R306" s="654"/>
      <c r="S306" s="654"/>
    </row>
    <row r="307" spans="1:19" s="716" customFormat="1" ht="13.2" customHeight="1">
      <c r="A307" s="1108"/>
      <c r="B307" s="1098"/>
      <c r="C307" s="1096"/>
      <c r="D307" s="1103"/>
      <c r="E307" s="1043"/>
      <c r="F307" s="274" t="s">
        <v>24</v>
      </c>
      <c r="G307" s="276">
        <f>ROUND(G306*90%,5)</f>
        <v>1485.2961</v>
      </c>
      <c r="H307" s="1047"/>
      <c r="I307" s="1116"/>
      <c r="J307" s="263"/>
      <c r="K307" s="671"/>
      <c r="L307" s="675">
        <f>ROUND(L306*90%,5)</f>
        <v>1530.2736</v>
      </c>
      <c r="M307" s="662"/>
      <c r="N307" s="656"/>
      <c r="O307" s="657"/>
      <c r="P307" s="654"/>
      <c r="Q307" s="654"/>
      <c r="R307" s="654"/>
      <c r="S307" s="654"/>
    </row>
    <row r="308" spans="1:19" s="716" customFormat="1" ht="12.6" customHeight="1">
      <c r="A308" s="1108"/>
      <c r="B308" s="1098"/>
      <c r="C308" s="1096"/>
      <c r="D308" s="1103"/>
      <c r="E308" s="1043"/>
      <c r="F308" s="274" t="s">
        <v>10</v>
      </c>
      <c r="G308" s="392"/>
      <c r="H308" s="1047"/>
      <c r="I308" s="1116"/>
      <c r="J308" s="263"/>
      <c r="K308" s="671"/>
      <c r="L308" s="675"/>
      <c r="M308" s="662"/>
      <c r="N308" s="656"/>
      <c r="O308" s="657"/>
      <c r="P308" s="654"/>
      <c r="Q308" s="654"/>
      <c r="R308" s="654"/>
      <c r="S308" s="654"/>
    </row>
    <row r="309" spans="1:19" s="716" customFormat="1" ht="13.2" customHeight="1">
      <c r="A309" s="1119"/>
      <c r="B309" s="1099"/>
      <c r="C309" s="959"/>
      <c r="D309" s="1104"/>
      <c r="E309" s="1044"/>
      <c r="F309" s="274" t="s">
        <v>11</v>
      </c>
      <c r="G309" s="276">
        <f>G306-G307</f>
        <v>165.03289999999993</v>
      </c>
      <c r="H309" s="1049"/>
      <c r="I309" s="1120"/>
      <c r="J309" s="263"/>
      <c r="K309" s="671"/>
      <c r="L309" s="675">
        <f>L306-L307</f>
        <v>170.0304000000001</v>
      </c>
      <c r="M309" s="662"/>
      <c r="N309" s="656"/>
      <c r="O309" s="657"/>
      <c r="P309" s="654"/>
      <c r="Q309" s="654"/>
      <c r="R309" s="654"/>
      <c r="S309" s="654"/>
    </row>
    <row r="310" spans="1:19" s="716" customFormat="1" ht="13.2" customHeight="1">
      <c r="A310" s="1107" t="s">
        <v>900</v>
      </c>
      <c r="B310" s="1068" t="s">
        <v>855</v>
      </c>
      <c r="C310" s="958" t="s">
        <v>215</v>
      </c>
      <c r="D310" s="1112">
        <v>590</v>
      </c>
      <c r="E310" s="1042" t="s">
        <v>517</v>
      </c>
      <c r="F310" s="266" t="s">
        <v>4</v>
      </c>
      <c r="G310" s="728">
        <v>902.20600000000002</v>
      </c>
      <c r="H310" s="840" t="s">
        <v>87</v>
      </c>
      <c r="I310" s="1124"/>
      <c r="J310" s="263"/>
      <c r="K310" s="1121"/>
      <c r="L310" s="673">
        <v>902.20600000000002</v>
      </c>
      <c r="M310" s="662"/>
      <c r="N310" s="656"/>
      <c r="O310" s="657"/>
      <c r="P310" s="654"/>
      <c r="Q310" s="654"/>
      <c r="R310" s="654"/>
      <c r="S310" s="654"/>
    </row>
    <row r="311" spans="1:19" s="716" customFormat="1" ht="13.2" customHeight="1">
      <c r="A311" s="1108"/>
      <c r="B311" s="1122"/>
      <c r="C311" s="1096"/>
      <c r="D311" s="1103"/>
      <c r="E311" s="1043"/>
      <c r="F311" s="274" t="s">
        <v>24</v>
      </c>
      <c r="G311" s="312">
        <v>811.98540000000003</v>
      </c>
      <c r="H311" s="840"/>
      <c r="I311" s="1124"/>
      <c r="J311" s="263"/>
      <c r="K311" s="1121"/>
      <c r="L311" s="675">
        <v>811.98540000000003</v>
      </c>
      <c r="M311" s="662"/>
      <c r="N311" s="656"/>
      <c r="O311" s="657"/>
      <c r="P311" s="654"/>
      <c r="Q311" s="654"/>
      <c r="R311" s="654"/>
      <c r="S311" s="654"/>
    </row>
    <row r="312" spans="1:19" s="716" customFormat="1" ht="13.2" customHeight="1">
      <c r="A312" s="1108"/>
      <c r="B312" s="1122"/>
      <c r="C312" s="1096"/>
      <c r="D312" s="1103"/>
      <c r="E312" s="1043"/>
      <c r="F312" s="274" t="s">
        <v>10</v>
      </c>
      <c r="G312" s="726"/>
      <c r="H312" s="840"/>
      <c r="I312" s="1124"/>
      <c r="J312" s="263"/>
      <c r="K312" s="1121"/>
      <c r="L312" s="675"/>
      <c r="M312" s="662"/>
      <c r="N312" s="656"/>
      <c r="O312" s="657"/>
      <c r="P312" s="654"/>
      <c r="Q312" s="654"/>
      <c r="R312" s="654"/>
      <c r="S312" s="654"/>
    </row>
    <row r="313" spans="1:19" s="716" customFormat="1" ht="13.2" customHeight="1">
      <c r="A313" s="1119"/>
      <c r="B313" s="1123"/>
      <c r="C313" s="959"/>
      <c r="D313" s="1104"/>
      <c r="E313" s="1044"/>
      <c r="F313" s="274" t="s">
        <v>11</v>
      </c>
      <c r="G313" s="312">
        <f>G310-G311</f>
        <v>90.22059999999999</v>
      </c>
      <c r="H313" s="840"/>
      <c r="I313" s="1124"/>
      <c r="J313" s="263"/>
      <c r="K313" s="1121"/>
      <c r="L313" s="675">
        <f>L310-L311</f>
        <v>90.22059999999999</v>
      </c>
      <c r="M313" s="662"/>
      <c r="N313" s="656"/>
      <c r="O313" s="657"/>
      <c r="P313" s="654"/>
      <c r="Q313" s="654"/>
      <c r="R313" s="654"/>
      <c r="S313" s="654"/>
    </row>
    <row r="314" spans="1:19" s="716" customFormat="1" ht="13.2" customHeight="1">
      <c r="A314" s="1107" t="s">
        <v>901</v>
      </c>
      <c r="B314" s="1068" t="s">
        <v>856</v>
      </c>
      <c r="C314" s="958" t="s">
        <v>850</v>
      </c>
      <c r="D314" s="1112">
        <v>50</v>
      </c>
      <c r="E314" s="1042" t="s">
        <v>517</v>
      </c>
      <c r="F314" s="266" t="s">
        <v>4</v>
      </c>
      <c r="G314" s="728">
        <v>756</v>
      </c>
      <c r="H314" s="840" t="s">
        <v>87</v>
      </c>
      <c r="I314" s="1124"/>
      <c r="J314" s="263"/>
      <c r="K314" s="1121"/>
      <c r="L314" s="673">
        <v>756</v>
      </c>
      <c r="M314" s="662"/>
      <c r="N314" s="656"/>
      <c r="O314" s="657"/>
      <c r="P314" s="654"/>
      <c r="Q314" s="654"/>
      <c r="R314" s="654"/>
      <c r="S314" s="654"/>
    </row>
    <row r="315" spans="1:19" s="716" customFormat="1" ht="13.2" customHeight="1">
      <c r="A315" s="1108"/>
      <c r="B315" s="1122"/>
      <c r="C315" s="1096"/>
      <c r="D315" s="1103"/>
      <c r="E315" s="1043"/>
      <c r="F315" s="274" t="s">
        <v>24</v>
      </c>
      <c r="G315" s="312">
        <v>680.4</v>
      </c>
      <c r="H315" s="840"/>
      <c r="I315" s="1124"/>
      <c r="J315" s="263"/>
      <c r="K315" s="1121"/>
      <c r="L315" s="675">
        <v>680.4</v>
      </c>
      <c r="M315" s="662"/>
      <c r="N315" s="656"/>
      <c r="O315" s="657"/>
      <c r="P315" s="673"/>
      <c r="Q315" s="662"/>
      <c r="R315" s="654"/>
      <c r="S315" s="654"/>
    </row>
    <row r="316" spans="1:19" ht="13.2" customHeight="1">
      <c r="A316" s="1108"/>
      <c r="B316" s="1122"/>
      <c r="C316" s="1096"/>
      <c r="D316" s="1103"/>
      <c r="E316" s="1043"/>
      <c r="F316" s="274" t="s">
        <v>10</v>
      </c>
      <c r="G316" s="726"/>
      <c r="H316" s="840"/>
      <c r="I316" s="1124"/>
      <c r="J316" s="263"/>
      <c r="K316" s="1121"/>
      <c r="L316" s="675"/>
      <c r="M316" s="662"/>
      <c r="N316" s="656"/>
      <c r="O316" s="657"/>
      <c r="P316" s="675"/>
      <c r="Q316" s="654"/>
      <c r="R316" s="654"/>
      <c r="S316" s="654"/>
    </row>
    <row r="317" spans="1:19" ht="13.2" customHeight="1">
      <c r="A317" s="1119"/>
      <c r="B317" s="1123"/>
      <c r="C317" s="959"/>
      <c r="D317" s="1104"/>
      <c r="E317" s="1044"/>
      <c r="F317" s="274" t="s">
        <v>11</v>
      </c>
      <c r="G317" s="312">
        <f>G314-G315</f>
        <v>75.600000000000023</v>
      </c>
      <c r="H317" s="840"/>
      <c r="I317" s="1124"/>
      <c r="J317" s="263"/>
      <c r="K317" s="1121"/>
      <c r="L317" s="675">
        <f>L314-L315</f>
        <v>75.600000000000023</v>
      </c>
      <c r="M317" s="654"/>
      <c r="N317" s="656"/>
      <c r="O317" s="657"/>
      <c r="P317" s="675"/>
      <c r="Q317" s="654"/>
      <c r="R317" s="654"/>
      <c r="S317" s="654"/>
    </row>
    <row r="318" spans="1:19" ht="14.4" customHeight="1">
      <c r="A318" s="1107" t="s">
        <v>902</v>
      </c>
      <c r="B318" s="1097" t="s">
        <v>795</v>
      </c>
      <c r="C318" s="958" t="s">
        <v>43</v>
      </c>
      <c r="D318" s="1112">
        <v>1</v>
      </c>
      <c r="E318" s="1042" t="s">
        <v>517</v>
      </c>
      <c r="F318" s="266" t="s">
        <v>4</v>
      </c>
      <c r="G318" s="390">
        <v>3914.0246000000002</v>
      </c>
      <c r="H318" s="1045" t="s">
        <v>87</v>
      </c>
      <c r="I318" s="1115"/>
      <c r="J318" s="263"/>
      <c r="K318" s="671"/>
      <c r="L318" s="673">
        <v>3914.0246000000002</v>
      </c>
      <c r="M318" s="662"/>
      <c r="N318" s="656"/>
      <c r="O318" s="657"/>
      <c r="P318" s="675"/>
      <c r="Q318" s="662"/>
      <c r="R318" s="654"/>
      <c r="S318" s="654"/>
    </row>
    <row r="319" spans="1:19" ht="14.4" customHeight="1">
      <c r="A319" s="1108"/>
      <c r="B319" s="1098"/>
      <c r="C319" s="1096"/>
      <c r="D319" s="1103"/>
      <c r="E319" s="1043"/>
      <c r="F319" s="274" t="s">
        <v>24</v>
      </c>
      <c r="G319" s="276">
        <v>3519.9619200000002</v>
      </c>
      <c r="H319" s="1047"/>
      <c r="I319" s="1116"/>
      <c r="J319" s="263"/>
      <c r="K319" s="671"/>
      <c r="L319" s="675">
        <v>3519.9619200000002</v>
      </c>
      <c r="M319" s="662"/>
      <c r="N319" s="656"/>
      <c r="O319" s="657"/>
      <c r="P319" s="654"/>
      <c r="Q319" s="654"/>
      <c r="R319" s="654"/>
      <c r="S319" s="654"/>
    </row>
    <row r="320" spans="1:19" ht="14.4" customHeight="1">
      <c r="A320" s="1108"/>
      <c r="B320" s="1098"/>
      <c r="C320" s="1096"/>
      <c r="D320" s="1103"/>
      <c r="E320" s="1043"/>
      <c r="F320" s="274" t="s">
        <v>10</v>
      </c>
      <c r="G320" s="392"/>
      <c r="H320" s="1047"/>
      <c r="I320" s="1116"/>
      <c r="J320" s="263"/>
      <c r="K320" s="671"/>
      <c r="L320" s="675"/>
      <c r="M320" s="662"/>
      <c r="N320" s="656"/>
      <c r="O320" s="657"/>
      <c r="P320" s="654"/>
      <c r="Q320" s="654"/>
      <c r="R320" s="654"/>
      <c r="S320" s="654"/>
    </row>
    <row r="321" spans="1:19" ht="14.4" customHeight="1">
      <c r="A321" s="1119"/>
      <c r="B321" s="1099"/>
      <c r="C321" s="959"/>
      <c r="D321" s="1104"/>
      <c r="E321" s="1044"/>
      <c r="F321" s="274" t="s">
        <v>11</v>
      </c>
      <c r="G321" s="276">
        <f>G318-G319</f>
        <v>394.06268</v>
      </c>
      <c r="H321" s="1049"/>
      <c r="I321" s="1120"/>
      <c r="J321" s="263"/>
      <c r="K321" s="671"/>
      <c r="L321" s="675">
        <f>L318-L319</f>
        <v>394.06268</v>
      </c>
      <c r="M321" s="729" t="s">
        <v>894</v>
      </c>
      <c r="N321" s="729"/>
      <c r="O321" s="657"/>
      <c r="P321" s="654"/>
      <c r="Q321" s="654"/>
      <c r="R321" s="654"/>
      <c r="S321" s="654"/>
    </row>
    <row r="322" spans="1:19" ht="10.95" customHeight="1">
      <c r="A322" s="1107" t="s">
        <v>903</v>
      </c>
      <c r="B322" s="1097" t="s">
        <v>798</v>
      </c>
      <c r="C322" s="958" t="s">
        <v>43</v>
      </c>
      <c r="D322" s="1112">
        <v>12</v>
      </c>
      <c r="E322" s="1042" t="s">
        <v>517</v>
      </c>
      <c r="F322" s="266" t="s">
        <v>4</v>
      </c>
      <c r="G322" s="390">
        <v>498.91183999999998</v>
      </c>
      <c r="H322" s="1045" t="s">
        <v>87</v>
      </c>
      <c r="I322" s="1115"/>
      <c r="J322" s="263"/>
      <c r="K322" s="671"/>
      <c r="L322" s="673">
        <v>498.91183999999998</v>
      </c>
      <c r="M322" s="662"/>
      <c r="N322" s="656"/>
      <c r="O322" s="657"/>
      <c r="P322" s="654"/>
      <c r="Q322" s="654"/>
      <c r="R322" s="654"/>
      <c r="S322" s="654"/>
    </row>
    <row r="323" spans="1:19" ht="10.95" customHeight="1">
      <c r="A323" s="1108"/>
      <c r="B323" s="1098"/>
      <c r="C323" s="1096"/>
      <c r="D323" s="1103"/>
      <c r="E323" s="1043"/>
      <c r="F323" s="274" t="s">
        <v>24</v>
      </c>
      <c r="G323" s="276">
        <f>ROUND(G322*90%,5)</f>
        <v>449.02066000000002</v>
      </c>
      <c r="H323" s="1047"/>
      <c r="I323" s="1116"/>
      <c r="J323" s="263"/>
      <c r="K323" s="671"/>
      <c r="L323" s="675">
        <f>ROUND(L322*90%,5)</f>
        <v>449.02066000000002</v>
      </c>
      <c r="M323" s="662"/>
      <c r="N323" s="656"/>
      <c r="O323" s="657"/>
      <c r="P323" s="654"/>
      <c r="Q323" s="654"/>
      <c r="R323" s="654"/>
      <c r="S323" s="654"/>
    </row>
    <row r="324" spans="1:19" ht="10.95" customHeight="1">
      <c r="A324" s="1108"/>
      <c r="B324" s="1098"/>
      <c r="C324" s="1096"/>
      <c r="D324" s="1103"/>
      <c r="E324" s="1043"/>
      <c r="F324" s="274" t="s">
        <v>10</v>
      </c>
      <c r="G324" s="392"/>
      <c r="H324" s="1047"/>
      <c r="I324" s="1116"/>
      <c r="J324" s="263"/>
      <c r="K324" s="671"/>
      <c r="L324" s="675"/>
      <c r="M324" s="662"/>
      <c r="N324" s="656"/>
      <c r="O324" s="657"/>
      <c r="P324" s="654"/>
      <c r="Q324" s="654"/>
      <c r="R324" s="654"/>
      <c r="S324" s="654"/>
    </row>
    <row r="325" spans="1:19" ht="10.95" customHeight="1">
      <c r="A325" s="1119"/>
      <c r="B325" s="1099"/>
      <c r="C325" s="959"/>
      <c r="D325" s="1104"/>
      <c r="E325" s="1044"/>
      <c r="F325" s="274" t="s">
        <v>11</v>
      </c>
      <c r="G325" s="276">
        <f>G322-G323</f>
        <v>49.891179999999963</v>
      </c>
      <c r="H325" s="1049"/>
      <c r="I325" s="1120"/>
      <c r="J325" s="263"/>
      <c r="K325" s="671"/>
      <c r="L325" s="675">
        <f>L322-L323</f>
        <v>49.891179999999963</v>
      </c>
      <c r="M325" s="662"/>
      <c r="N325" s="656"/>
      <c r="O325" s="657"/>
      <c r="P325" s="654"/>
      <c r="Q325" s="654"/>
      <c r="R325" s="654"/>
      <c r="S325" s="654"/>
    </row>
    <row r="326" spans="1:19" ht="10.95" customHeight="1">
      <c r="A326" s="1107" t="s">
        <v>904</v>
      </c>
      <c r="B326" s="1097" t="s">
        <v>797</v>
      </c>
      <c r="C326" s="958" t="s">
        <v>43</v>
      </c>
      <c r="D326" s="1112">
        <v>45</v>
      </c>
      <c r="E326" s="1042" t="s">
        <v>517</v>
      </c>
      <c r="F326" s="266" t="s">
        <v>4</v>
      </c>
      <c r="G326" s="390">
        <v>135</v>
      </c>
      <c r="H326" s="1045" t="s">
        <v>87</v>
      </c>
      <c r="I326" s="1115"/>
      <c r="J326" s="263"/>
      <c r="K326" s="671"/>
      <c r="L326" s="673">
        <v>135</v>
      </c>
      <c r="M326" s="662"/>
      <c r="N326" s="656"/>
      <c r="O326" s="657"/>
      <c r="P326" s="654"/>
      <c r="Q326" s="654"/>
      <c r="R326" s="654"/>
      <c r="S326" s="654"/>
    </row>
    <row r="327" spans="1:19" ht="10.95" customHeight="1">
      <c r="A327" s="1108"/>
      <c r="B327" s="1098"/>
      <c r="C327" s="1096"/>
      <c r="D327" s="1103"/>
      <c r="E327" s="1043"/>
      <c r="F327" s="274" t="s">
        <v>24</v>
      </c>
      <c r="G327" s="276">
        <f>ROUND(G326*90%,5)</f>
        <v>121.5</v>
      </c>
      <c r="H327" s="1047"/>
      <c r="I327" s="1116"/>
      <c r="J327" s="263"/>
      <c r="K327" s="671"/>
      <c r="L327" s="675">
        <f>ROUND(L326*90%,5)</f>
        <v>121.5</v>
      </c>
      <c r="M327" s="662"/>
      <c r="N327" s="656"/>
      <c r="O327" s="657"/>
      <c r="P327" s="654"/>
      <c r="Q327" s="654"/>
      <c r="R327" s="654"/>
      <c r="S327" s="654"/>
    </row>
    <row r="328" spans="1:19" ht="10.95" customHeight="1">
      <c r="A328" s="1108"/>
      <c r="B328" s="1098"/>
      <c r="C328" s="1096"/>
      <c r="D328" s="1103"/>
      <c r="E328" s="1043"/>
      <c r="F328" s="274" t="s">
        <v>10</v>
      </c>
      <c r="G328" s="392"/>
      <c r="H328" s="1047"/>
      <c r="I328" s="1116"/>
      <c r="J328" s="263"/>
      <c r="K328" s="671"/>
      <c r="L328" s="675"/>
      <c r="M328" s="662"/>
      <c r="N328" s="656"/>
      <c r="O328" s="657"/>
      <c r="P328" s="654"/>
      <c r="Q328" s="654"/>
      <c r="R328" s="654"/>
      <c r="S328" s="654"/>
    </row>
    <row r="329" spans="1:19" ht="10.95" customHeight="1">
      <c r="A329" s="1119"/>
      <c r="B329" s="1099"/>
      <c r="C329" s="959"/>
      <c r="D329" s="1104"/>
      <c r="E329" s="1044"/>
      <c r="F329" s="274" t="s">
        <v>11</v>
      </c>
      <c r="G329" s="276">
        <f>G326-G327</f>
        <v>13.5</v>
      </c>
      <c r="H329" s="1049"/>
      <c r="I329" s="1120"/>
      <c r="J329" s="263"/>
      <c r="K329" s="671"/>
      <c r="L329" s="675">
        <f>L326-L327</f>
        <v>13.5</v>
      </c>
      <c r="M329" s="662"/>
      <c r="N329" s="656"/>
      <c r="O329" s="657"/>
      <c r="P329" s="654"/>
      <c r="Q329" s="654"/>
      <c r="R329" s="654"/>
      <c r="S329" s="654"/>
    </row>
    <row r="330" spans="1:19" ht="10.95" customHeight="1">
      <c r="A330" s="1107" t="s">
        <v>905</v>
      </c>
      <c r="B330" s="1097" t="s">
        <v>800</v>
      </c>
      <c r="C330" s="958" t="s">
        <v>876</v>
      </c>
      <c r="D330" s="1112">
        <v>360</v>
      </c>
      <c r="E330" s="1042" t="s">
        <v>517</v>
      </c>
      <c r="F330" s="266" t="s">
        <v>4</v>
      </c>
      <c r="G330" s="390">
        <v>330</v>
      </c>
      <c r="H330" s="1045" t="s">
        <v>87</v>
      </c>
      <c r="I330" s="1115"/>
      <c r="J330" s="263"/>
      <c r="K330" s="671"/>
      <c r="L330" s="673">
        <v>330</v>
      </c>
      <c r="M330" s="662"/>
      <c r="N330" s="656"/>
      <c r="O330" s="657"/>
      <c r="P330" s="654"/>
      <c r="Q330" s="654"/>
      <c r="R330" s="654"/>
      <c r="S330" s="654"/>
    </row>
    <row r="331" spans="1:19" ht="10.95" customHeight="1">
      <c r="A331" s="1108"/>
      <c r="B331" s="1098"/>
      <c r="C331" s="1096"/>
      <c r="D331" s="1103"/>
      <c r="E331" s="1043"/>
      <c r="F331" s="274" t="s">
        <v>24</v>
      </c>
      <c r="G331" s="276">
        <f>ROUND(G330*90%,5)</f>
        <v>297</v>
      </c>
      <c r="H331" s="1047"/>
      <c r="I331" s="1116"/>
      <c r="J331" s="263"/>
      <c r="K331" s="671"/>
      <c r="L331" s="675">
        <f>ROUND(L330*90%,5)</f>
        <v>297</v>
      </c>
      <c r="M331" s="662"/>
      <c r="N331" s="656"/>
      <c r="O331" s="657"/>
      <c r="P331" s="654"/>
      <c r="Q331" s="654"/>
      <c r="R331" s="654"/>
      <c r="S331" s="654"/>
    </row>
    <row r="332" spans="1:19" s="700" customFormat="1" ht="10.95" customHeight="1">
      <c r="A332" s="1108"/>
      <c r="B332" s="1098"/>
      <c r="C332" s="1096"/>
      <c r="D332" s="1103"/>
      <c r="E332" s="1043"/>
      <c r="F332" s="274" t="s">
        <v>10</v>
      </c>
      <c r="G332" s="392"/>
      <c r="H332" s="1047"/>
      <c r="I332" s="1116"/>
      <c r="J332" s="263"/>
      <c r="K332" s="671"/>
      <c r="L332" s="675"/>
      <c r="M332" s="662"/>
      <c r="N332" s="656"/>
      <c r="O332" s="657"/>
      <c r="P332" s="654"/>
      <c r="Q332" s="654"/>
      <c r="R332" s="654"/>
      <c r="S332" s="654"/>
    </row>
    <row r="333" spans="1:19" s="700" customFormat="1" ht="10.95" customHeight="1">
      <c r="A333" s="1119"/>
      <c r="B333" s="1099"/>
      <c r="C333" s="959"/>
      <c r="D333" s="1104"/>
      <c r="E333" s="1044"/>
      <c r="F333" s="274" t="s">
        <v>11</v>
      </c>
      <c r="G333" s="276">
        <f>G330-G331</f>
        <v>33</v>
      </c>
      <c r="H333" s="1049"/>
      <c r="I333" s="1120"/>
      <c r="J333" s="263"/>
      <c r="K333" s="671"/>
      <c r="L333" s="675">
        <f>L330-L331</f>
        <v>33</v>
      </c>
      <c r="M333" s="662"/>
      <c r="N333" s="656"/>
      <c r="O333" s="657"/>
      <c r="P333" s="654"/>
      <c r="Q333" s="654"/>
      <c r="R333" s="654"/>
      <c r="S333" s="654"/>
    </row>
    <row r="334" spans="1:19" s="700" customFormat="1" ht="10.95" customHeight="1">
      <c r="A334" s="1107" t="s">
        <v>906</v>
      </c>
      <c r="B334" s="1097" t="s">
        <v>857</v>
      </c>
      <c r="C334" s="958" t="s">
        <v>43</v>
      </c>
      <c r="D334" s="1112">
        <v>1</v>
      </c>
      <c r="E334" s="1042" t="s">
        <v>517</v>
      </c>
      <c r="F334" s="266" t="s">
        <v>4</v>
      </c>
      <c r="G334" s="390">
        <v>390</v>
      </c>
      <c r="H334" s="1045" t="s">
        <v>87</v>
      </c>
      <c r="I334" s="1115"/>
      <c r="J334" s="263"/>
      <c r="K334" s="1105"/>
      <c r="L334" s="673">
        <v>390</v>
      </c>
      <c r="M334" s="1106"/>
      <c r="N334" s="1106"/>
      <c r="O334" s="657"/>
      <c r="P334" s="654"/>
      <c r="Q334" s="654"/>
      <c r="R334" s="654"/>
      <c r="S334" s="654"/>
    </row>
    <row r="335" spans="1:19" s="700" customFormat="1" ht="10.95" customHeight="1">
      <c r="A335" s="1108"/>
      <c r="B335" s="1098"/>
      <c r="C335" s="1096"/>
      <c r="D335" s="1103"/>
      <c r="E335" s="1043"/>
      <c r="F335" s="274" t="s">
        <v>24</v>
      </c>
      <c r="G335" s="276">
        <v>351</v>
      </c>
      <c r="H335" s="1047"/>
      <c r="I335" s="1116"/>
      <c r="J335" s="263"/>
      <c r="K335" s="1105"/>
      <c r="L335" s="675">
        <v>351</v>
      </c>
      <c r="M335" s="676"/>
      <c r="N335" s="677"/>
      <c r="O335" s="657"/>
      <c r="P335" s="654"/>
      <c r="Q335" s="654"/>
      <c r="R335" s="654"/>
      <c r="S335" s="654"/>
    </row>
    <row r="336" spans="1:19" s="700" customFormat="1" ht="10.95" customHeight="1">
      <c r="A336" s="1108"/>
      <c r="B336" s="1098"/>
      <c r="C336" s="1096"/>
      <c r="D336" s="1103"/>
      <c r="E336" s="1043"/>
      <c r="F336" s="274" t="s">
        <v>10</v>
      </c>
      <c r="G336" s="392"/>
      <c r="H336" s="1047"/>
      <c r="I336" s="1116"/>
      <c r="J336" s="263"/>
      <c r="K336" s="1105"/>
      <c r="L336" s="675"/>
      <c r="M336" s="676"/>
      <c r="N336" s="678"/>
      <c r="O336" s="657"/>
      <c r="P336" s="654"/>
      <c r="Q336" s="654"/>
      <c r="R336" s="654"/>
      <c r="S336" s="654"/>
    </row>
    <row r="337" spans="1:19" s="700" customFormat="1" ht="10.95" customHeight="1">
      <c r="A337" s="1119"/>
      <c r="B337" s="1099"/>
      <c r="C337" s="959"/>
      <c r="D337" s="1104"/>
      <c r="E337" s="1044"/>
      <c r="F337" s="274" t="s">
        <v>11</v>
      </c>
      <c r="G337" s="276">
        <f>G334-G335</f>
        <v>39</v>
      </c>
      <c r="H337" s="1049"/>
      <c r="I337" s="1120"/>
      <c r="J337" s="263"/>
      <c r="K337" s="1105"/>
      <c r="L337" s="675">
        <f>L334-L335</f>
        <v>39</v>
      </c>
      <c r="M337" s="676"/>
      <c r="N337" s="672"/>
      <c r="O337" s="657"/>
      <c r="P337" s="654"/>
      <c r="Q337" s="654"/>
      <c r="R337" s="654"/>
      <c r="S337" s="654"/>
    </row>
    <row r="338" spans="1:19" s="700" customFormat="1" ht="10.95" customHeight="1">
      <c r="A338" s="1107" t="s">
        <v>907</v>
      </c>
      <c r="B338" s="1097" t="s">
        <v>877</v>
      </c>
      <c r="C338" s="958" t="s">
        <v>916</v>
      </c>
      <c r="D338" s="1112">
        <v>1</v>
      </c>
      <c r="E338" s="1042" t="s">
        <v>517</v>
      </c>
      <c r="F338" s="266" t="s">
        <v>4</v>
      </c>
      <c r="G338" s="390">
        <v>49.975000000000001</v>
      </c>
      <c r="H338" s="1045" t="s">
        <v>87</v>
      </c>
      <c r="I338" s="1115"/>
      <c r="J338" s="263"/>
      <c r="K338" s="712"/>
      <c r="L338" s="675"/>
      <c r="M338" s="676"/>
      <c r="N338" s="672"/>
      <c r="O338" s="657"/>
      <c r="P338" s="654"/>
      <c r="Q338" s="654"/>
      <c r="R338" s="654"/>
      <c r="S338" s="654"/>
    </row>
    <row r="339" spans="1:19" s="700" customFormat="1" ht="10.95" customHeight="1">
      <c r="A339" s="1108"/>
      <c r="B339" s="1098"/>
      <c r="C339" s="1096"/>
      <c r="D339" s="1103"/>
      <c r="E339" s="1043"/>
      <c r="F339" s="274" t="s">
        <v>24</v>
      </c>
      <c r="G339" s="276">
        <f>ROUND(G338*90%,5)</f>
        <v>44.977499999999999</v>
      </c>
      <c r="H339" s="1047"/>
      <c r="I339" s="1116"/>
      <c r="J339" s="263"/>
      <c r="K339" s="712"/>
      <c r="L339" s="675"/>
      <c r="M339" s="676"/>
      <c r="N339" s="672"/>
      <c r="O339" s="657"/>
      <c r="P339" s="654"/>
      <c r="Q339" s="654"/>
      <c r="R339" s="654"/>
      <c r="S339" s="654"/>
    </row>
    <row r="340" spans="1:19" s="700" customFormat="1" ht="10.95" customHeight="1">
      <c r="A340" s="1108"/>
      <c r="B340" s="1098"/>
      <c r="C340" s="1096"/>
      <c r="D340" s="1103"/>
      <c r="E340" s="1043"/>
      <c r="F340" s="274" t="s">
        <v>10</v>
      </c>
      <c r="G340" s="392"/>
      <c r="H340" s="1047"/>
      <c r="I340" s="1116"/>
      <c r="J340" s="263"/>
      <c r="K340" s="712"/>
      <c r="L340" s="675"/>
      <c r="M340" s="676"/>
      <c r="N340" s="672"/>
      <c r="O340" s="657"/>
      <c r="P340" s="654"/>
      <c r="Q340" s="654"/>
      <c r="R340" s="654"/>
      <c r="S340" s="654"/>
    </row>
    <row r="341" spans="1:19" s="700" customFormat="1" ht="10.95" customHeight="1" thickBot="1">
      <c r="A341" s="1109"/>
      <c r="B341" s="1110"/>
      <c r="C341" s="1111"/>
      <c r="D341" s="1113"/>
      <c r="E341" s="1114"/>
      <c r="F341" s="693" t="s">
        <v>11</v>
      </c>
      <c r="G341" s="694">
        <f>G338-G339</f>
        <v>4.9975000000000023</v>
      </c>
      <c r="H341" s="1117"/>
      <c r="I341" s="1118"/>
      <c r="J341" s="263"/>
      <c r="K341" s="712"/>
      <c r="L341" s="675"/>
      <c r="M341" s="676"/>
      <c r="N341" s="672"/>
      <c r="O341" s="657"/>
      <c r="P341" s="654"/>
      <c r="Q341" s="654"/>
      <c r="R341" s="654"/>
      <c r="S341" s="654"/>
    </row>
    <row r="342" spans="1:19" s="700" customFormat="1" ht="10.199999999999999" customHeight="1">
      <c r="A342" s="1072" t="s">
        <v>484</v>
      </c>
      <c r="B342" s="1098" t="s">
        <v>788</v>
      </c>
      <c r="C342" s="1096" t="s">
        <v>43</v>
      </c>
      <c r="D342" s="1103">
        <v>40</v>
      </c>
      <c r="E342" s="1043" t="s">
        <v>517</v>
      </c>
      <c r="F342" s="695" t="s">
        <v>4</v>
      </c>
      <c r="G342" s="393">
        <f>SUM(G343:G345)</f>
        <v>1050</v>
      </c>
      <c r="H342" s="1047" t="s">
        <v>87</v>
      </c>
      <c r="I342" s="1048"/>
      <c r="J342" s="254"/>
      <c r="K342" s="654"/>
      <c r="L342" s="725"/>
      <c r="M342" s="654"/>
      <c r="N342" s="729"/>
      <c r="O342" s="657"/>
      <c r="P342" s="654"/>
      <c r="Q342" s="654"/>
      <c r="R342" s="654"/>
      <c r="S342" s="654"/>
    </row>
    <row r="343" spans="1:19" s="700" customFormat="1" ht="10.199999999999999" customHeight="1">
      <c r="A343" s="1072"/>
      <c r="B343" s="1098"/>
      <c r="C343" s="1096"/>
      <c r="D343" s="1103"/>
      <c r="E343" s="1043"/>
      <c r="F343" s="274" t="s">
        <v>24</v>
      </c>
      <c r="G343" s="390"/>
      <c r="H343" s="1047"/>
      <c r="I343" s="1048"/>
      <c r="J343" s="254"/>
      <c r="K343" s="730" t="s">
        <v>789</v>
      </c>
      <c r="L343" s="725"/>
      <c r="M343" s="654"/>
      <c r="N343" s="656"/>
      <c r="O343" s="657"/>
      <c r="P343" s="654"/>
      <c r="Q343" s="654"/>
      <c r="R343" s="654"/>
      <c r="S343" s="654"/>
    </row>
    <row r="344" spans="1:19" s="700" customFormat="1" ht="10.199999999999999" customHeight="1">
      <c r="A344" s="1072"/>
      <c r="B344" s="1098"/>
      <c r="C344" s="1096"/>
      <c r="D344" s="1103"/>
      <c r="E344" s="1043"/>
      <c r="F344" s="274" t="s">
        <v>10</v>
      </c>
      <c r="G344" s="391">
        <v>0</v>
      </c>
      <c r="H344" s="1047"/>
      <c r="I344" s="1048"/>
      <c r="J344" s="254"/>
      <c r="K344" s="654"/>
      <c r="L344" s="725"/>
      <c r="M344" s="654"/>
      <c r="N344" s="656"/>
      <c r="O344" s="657"/>
      <c r="P344" s="654"/>
      <c r="Q344" s="654"/>
      <c r="R344" s="654"/>
      <c r="S344" s="654"/>
    </row>
    <row r="345" spans="1:19" s="700" customFormat="1" ht="10.199999999999999" customHeight="1">
      <c r="A345" s="1073"/>
      <c r="B345" s="1099"/>
      <c r="C345" s="959"/>
      <c r="D345" s="1104"/>
      <c r="E345" s="1044"/>
      <c r="F345" s="274" t="s">
        <v>11</v>
      </c>
      <c r="G345" s="718">
        <v>1050</v>
      </c>
      <c r="H345" s="1049"/>
      <c r="I345" s="1050"/>
      <c r="J345" s="254"/>
      <c r="K345" s="654"/>
      <c r="L345" s="725"/>
      <c r="M345" s="654"/>
      <c r="N345" s="656"/>
      <c r="O345" s="657"/>
      <c r="P345" s="654"/>
      <c r="Q345" s="654"/>
      <c r="R345" s="654"/>
      <c r="S345" s="654"/>
    </row>
    <row r="346" spans="1:19" s="700" customFormat="1" ht="13.2" customHeight="1">
      <c r="A346" s="1086" t="s">
        <v>810</v>
      </c>
      <c r="B346" s="1100" t="s">
        <v>814</v>
      </c>
      <c r="C346" s="1081" t="s">
        <v>9</v>
      </c>
      <c r="D346" s="1081" t="s">
        <v>9</v>
      </c>
      <c r="E346" s="1042" t="s">
        <v>9</v>
      </c>
      <c r="F346" s="266" t="s">
        <v>4</v>
      </c>
      <c r="G346" s="270">
        <f>G348+G349</f>
        <v>500</v>
      </c>
      <c r="H346" s="1045"/>
      <c r="I346" s="1046"/>
      <c r="J346" s="254"/>
      <c r="K346" s="654"/>
      <c r="L346" s="576"/>
      <c r="M346" s="654"/>
      <c r="N346" s="656"/>
      <c r="O346" s="657"/>
      <c r="P346" s="654"/>
      <c r="Q346" s="654"/>
      <c r="R346" s="654"/>
      <c r="S346" s="654"/>
    </row>
    <row r="347" spans="1:19" s="700" customFormat="1" ht="13.2" customHeight="1">
      <c r="A347" s="1072"/>
      <c r="B347" s="1101"/>
      <c r="C347" s="1077"/>
      <c r="D347" s="1077"/>
      <c r="E347" s="1043"/>
      <c r="F347" s="274" t="s">
        <v>24</v>
      </c>
      <c r="G347" s="270"/>
      <c r="H347" s="1047"/>
      <c r="I347" s="1048"/>
      <c r="J347" s="254"/>
      <c r="K347" s="654">
        <v>446</v>
      </c>
      <c r="L347" s="576"/>
      <c r="M347" s="654"/>
      <c r="N347" s="656"/>
      <c r="O347" s="657"/>
      <c r="P347" s="654"/>
      <c r="Q347" s="654"/>
      <c r="R347" s="654"/>
      <c r="S347" s="654"/>
    </row>
    <row r="348" spans="1:19" s="700" customFormat="1" ht="13.2" customHeight="1">
      <c r="A348" s="1072"/>
      <c r="B348" s="1101"/>
      <c r="C348" s="1077"/>
      <c r="D348" s="1077"/>
      <c r="E348" s="1043"/>
      <c r="F348" s="274" t="s">
        <v>10</v>
      </c>
      <c r="G348" s="275">
        <f>G352</f>
        <v>0</v>
      </c>
      <c r="H348" s="1047"/>
      <c r="I348" s="1048"/>
      <c r="J348" s="254"/>
      <c r="K348" s="654"/>
      <c r="L348" s="576"/>
      <c r="M348" s="654"/>
      <c r="N348" s="656"/>
      <c r="O348" s="657"/>
      <c r="P348" s="654"/>
      <c r="Q348" s="654"/>
      <c r="R348" s="654"/>
      <c r="S348" s="654"/>
    </row>
    <row r="349" spans="1:19" s="700" customFormat="1" ht="13.2" customHeight="1">
      <c r="A349" s="1073"/>
      <c r="B349" s="1102"/>
      <c r="C349" s="1078"/>
      <c r="D349" s="1078"/>
      <c r="E349" s="1044"/>
      <c r="F349" s="274" t="s">
        <v>11</v>
      </c>
      <c r="G349" s="275">
        <f>G353</f>
        <v>500</v>
      </c>
      <c r="H349" s="1049"/>
      <c r="I349" s="1050"/>
      <c r="J349" s="254"/>
      <c r="K349" s="654"/>
      <c r="L349" s="576"/>
      <c r="M349" s="654"/>
      <c r="N349" s="656"/>
      <c r="O349" s="657"/>
      <c r="P349" s="654"/>
      <c r="Q349" s="654"/>
      <c r="R349" s="654"/>
      <c r="S349" s="654"/>
    </row>
    <row r="350" spans="1:19" s="700" customFormat="1" ht="13.2" customHeight="1">
      <c r="A350" s="1086" t="s">
        <v>811</v>
      </c>
      <c r="B350" s="1097" t="s">
        <v>908</v>
      </c>
      <c r="C350" s="958" t="s">
        <v>43</v>
      </c>
      <c r="D350" s="958">
        <v>38</v>
      </c>
      <c r="E350" s="1042" t="s">
        <v>517</v>
      </c>
      <c r="F350" s="266" t="s">
        <v>4</v>
      </c>
      <c r="G350" s="270">
        <f>SUM(G351:G353)</f>
        <v>500</v>
      </c>
      <c r="H350" s="1045" t="s">
        <v>87</v>
      </c>
      <c r="I350" s="1046"/>
      <c r="J350" s="254"/>
      <c r="K350" s="654"/>
      <c r="L350" s="576"/>
      <c r="M350" s="654"/>
      <c r="N350" s="656"/>
      <c r="O350" s="657"/>
      <c r="P350" s="654"/>
      <c r="Q350" s="654"/>
      <c r="R350" s="654"/>
      <c r="S350" s="654"/>
    </row>
    <row r="351" spans="1:19" s="700" customFormat="1" ht="13.2" customHeight="1">
      <c r="A351" s="1072"/>
      <c r="B351" s="1098"/>
      <c r="C351" s="1096"/>
      <c r="D351" s="1096"/>
      <c r="E351" s="1043"/>
      <c r="F351" s="274" t="s">
        <v>24</v>
      </c>
      <c r="G351" s="270"/>
      <c r="H351" s="1047"/>
      <c r="I351" s="1048"/>
      <c r="J351" s="254"/>
      <c r="K351" s="654"/>
      <c r="L351" s="576"/>
      <c r="M351" s="654"/>
      <c r="N351" s="656"/>
      <c r="O351" s="657"/>
      <c r="P351" s="654"/>
      <c r="Q351" s="654"/>
      <c r="R351" s="654"/>
      <c r="S351" s="654"/>
    </row>
    <row r="352" spans="1:19" ht="13.2" customHeight="1">
      <c r="A352" s="1072"/>
      <c r="B352" s="1098"/>
      <c r="C352" s="1096"/>
      <c r="D352" s="1096"/>
      <c r="E352" s="1043"/>
      <c r="F352" s="274" t="s">
        <v>10</v>
      </c>
      <c r="G352" s="276">
        <v>0</v>
      </c>
      <c r="H352" s="1047"/>
      <c r="I352" s="1048"/>
      <c r="K352" s="654"/>
      <c r="L352" s="576"/>
      <c r="M352" s="654"/>
      <c r="N352" s="656"/>
      <c r="O352" s="657"/>
      <c r="P352" s="654"/>
      <c r="Q352" s="654"/>
      <c r="R352" s="654"/>
      <c r="S352" s="654"/>
    </row>
    <row r="353" spans="1:19" ht="13.2" customHeight="1">
      <c r="A353" s="1073"/>
      <c r="B353" s="1099"/>
      <c r="C353" s="959"/>
      <c r="D353" s="959"/>
      <c r="E353" s="1044"/>
      <c r="F353" s="274" t="s">
        <v>11</v>
      </c>
      <c r="G353" s="276">
        <v>500</v>
      </c>
      <c r="H353" s="1049"/>
      <c r="I353" s="1050"/>
      <c r="K353" s="654"/>
      <c r="L353" s="576"/>
      <c r="M353" s="654"/>
      <c r="N353" s="656"/>
      <c r="O353" s="657"/>
      <c r="P353" s="654"/>
      <c r="Q353" s="654"/>
      <c r="R353" s="654"/>
      <c r="S353" s="654"/>
    </row>
    <row r="354" spans="1:19" ht="13.2" customHeight="1">
      <c r="A354" s="1086" t="s">
        <v>832</v>
      </c>
      <c r="B354" s="1097" t="s">
        <v>844</v>
      </c>
      <c r="C354" s="958" t="s">
        <v>43</v>
      </c>
      <c r="D354" s="958">
        <v>1</v>
      </c>
      <c r="E354" s="1042" t="s">
        <v>517</v>
      </c>
      <c r="F354" s="266" t="s">
        <v>4</v>
      </c>
      <c r="G354" s="270">
        <f>SUM(G355:G357)</f>
        <v>2246</v>
      </c>
      <c r="H354" s="1045" t="s">
        <v>85</v>
      </c>
      <c r="I354" s="1046"/>
      <c r="K354" s="654"/>
      <c r="L354" s="576"/>
      <c r="M354" s="654"/>
      <c r="N354" s="656"/>
      <c r="O354" s="657"/>
      <c r="P354" s="654"/>
      <c r="Q354" s="654"/>
      <c r="R354" s="654"/>
      <c r="S354" s="654"/>
    </row>
    <row r="355" spans="1:19" ht="13.2" customHeight="1">
      <c r="A355" s="1072"/>
      <c r="B355" s="1098"/>
      <c r="C355" s="1096"/>
      <c r="D355" s="1096"/>
      <c r="E355" s="1043"/>
      <c r="F355" s="274" t="s">
        <v>24</v>
      </c>
      <c r="G355" s="270"/>
      <c r="H355" s="1047"/>
      <c r="I355" s="1048"/>
      <c r="K355" s="654"/>
      <c r="L355" s="576"/>
      <c r="M355" s="654"/>
      <c r="N355" s="656"/>
      <c r="O355" s="657"/>
      <c r="P355" s="654"/>
      <c r="Q355" s="654"/>
      <c r="R355" s="654"/>
      <c r="S355" s="654"/>
    </row>
    <row r="356" spans="1:19" ht="13.2" customHeight="1">
      <c r="A356" s="1072"/>
      <c r="B356" s="1098"/>
      <c r="C356" s="1096"/>
      <c r="D356" s="1096"/>
      <c r="E356" s="1043"/>
      <c r="F356" s="274" t="s">
        <v>10</v>
      </c>
      <c r="G356" s="276">
        <v>0</v>
      </c>
      <c r="H356" s="1047"/>
      <c r="I356" s="1048"/>
      <c r="K356" s="654"/>
      <c r="L356" s="576"/>
      <c r="M356" s="654"/>
      <c r="N356" s="656"/>
      <c r="O356" s="657"/>
      <c r="P356" s="654"/>
      <c r="Q356" s="654"/>
      <c r="R356" s="654"/>
      <c r="S356" s="654"/>
    </row>
    <row r="357" spans="1:19" ht="13.2" customHeight="1">
      <c r="A357" s="1073"/>
      <c r="B357" s="1099"/>
      <c r="C357" s="959"/>
      <c r="D357" s="959"/>
      <c r="E357" s="1044"/>
      <c r="F357" s="274" t="s">
        <v>11</v>
      </c>
      <c r="G357" s="276">
        <v>2246</v>
      </c>
      <c r="H357" s="1049"/>
      <c r="I357" s="1050"/>
      <c r="K357" s="654"/>
      <c r="L357" s="576"/>
      <c r="M357" s="654"/>
      <c r="N357" s="656"/>
      <c r="O357" s="657"/>
      <c r="P357" s="654"/>
      <c r="Q357" s="654"/>
      <c r="R357" s="654"/>
      <c r="S357" s="654"/>
    </row>
    <row r="358" spans="1:19" ht="13.2" customHeight="1">
      <c r="A358" s="1086" t="s">
        <v>264</v>
      </c>
      <c r="B358" s="1097" t="s">
        <v>847</v>
      </c>
      <c r="C358" s="958" t="s">
        <v>43</v>
      </c>
      <c r="D358" s="958">
        <v>1</v>
      </c>
      <c r="E358" s="1042" t="s">
        <v>517</v>
      </c>
      <c r="F358" s="266" t="s">
        <v>4</v>
      </c>
      <c r="G358" s="270">
        <f>G359+G360+G361+G362</f>
        <v>415.90699999999998</v>
      </c>
      <c r="H358" s="1045" t="s">
        <v>84</v>
      </c>
      <c r="I358" s="1046"/>
      <c r="K358" s="654"/>
      <c r="L358" s="576" t="s">
        <v>853</v>
      </c>
      <c r="M358" s="654"/>
      <c r="N358" s="656"/>
      <c r="O358" s="657"/>
      <c r="P358" s="654"/>
      <c r="Q358" s="654"/>
      <c r="R358" s="654"/>
      <c r="S358" s="654"/>
    </row>
    <row r="359" spans="1:19" ht="13.2" customHeight="1">
      <c r="A359" s="1072"/>
      <c r="B359" s="1098"/>
      <c r="C359" s="1096"/>
      <c r="D359" s="1096"/>
      <c r="E359" s="1043"/>
      <c r="F359" s="274" t="s">
        <v>24</v>
      </c>
      <c r="G359" s="270"/>
      <c r="H359" s="1047"/>
      <c r="I359" s="1048"/>
      <c r="K359" s="654"/>
      <c r="L359" s="576"/>
      <c r="M359" s="654"/>
      <c r="N359" s="656"/>
      <c r="O359" s="657"/>
      <c r="P359" s="654"/>
      <c r="Q359" s="654"/>
      <c r="R359" s="654"/>
      <c r="S359" s="654"/>
    </row>
    <row r="360" spans="1:19" ht="13.2" customHeight="1">
      <c r="A360" s="1072"/>
      <c r="B360" s="1098"/>
      <c r="C360" s="1096"/>
      <c r="D360" s="1096"/>
      <c r="E360" s="1043"/>
      <c r="F360" s="274" t="s">
        <v>10</v>
      </c>
      <c r="G360" s="276">
        <v>0</v>
      </c>
      <c r="H360" s="1047"/>
      <c r="I360" s="1048"/>
      <c r="K360" s="654"/>
      <c r="L360" s="576"/>
      <c r="M360" s="654"/>
      <c r="N360" s="656"/>
      <c r="O360" s="657"/>
      <c r="P360" s="654"/>
      <c r="Q360" s="654"/>
      <c r="R360" s="654"/>
      <c r="S360" s="654"/>
    </row>
    <row r="361" spans="1:19" ht="13.2" customHeight="1">
      <c r="A361" s="1072"/>
      <c r="B361" s="1098"/>
      <c r="C361" s="1096"/>
      <c r="D361" s="1096"/>
      <c r="E361" s="1043"/>
      <c r="F361" s="274" t="s">
        <v>11</v>
      </c>
      <c r="G361" s="276">
        <v>400</v>
      </c>
      <c r="H361" s="1049"/>
      <c r="I361" s="1050"/>
      <c r="K361" s="654"/>
      <c r="L361" s="576"/>
      <c r="M361" s="654"/>
      <c r="N361" s="656"/>
      <c r="O361" s="657"/>
      <c r="P361" s="654"/>
      <c r="Q361" s="654"/>
      <c r="R361" s="654"/>
      <c r="S361" s="654"/>
    </row>
    <row r="362" spans="1:19" ht="24.6" customHeight="1">
      <c r="A362" s="1073"/>
      <c r="B362" s="1099"/>
      <c r="C362" s="959"/>
      <c r="D362" s="959"/>
      <c r="E362" s="1044"/>
      <c r="F362" s="731" t="s">
        <v>848</v>
      </c>
      <c r="G362" s="276">
        <v>15.907</v>
      </c>
      <c r="H362" s="651"/>
      <c r="I362" s="652"/>
      <c r="K362" s="654"/>
      <c r="L362" s="576"/>
      <c r="M362" s="654"/>
      <c r="N362" s="656"/>
      <c r="O362" s="657"/>
      <c r="P362" s="654"/>
      <c r="Q362" s="654"/>
      <c r="R362" s="654"/>
      <c r="S362" s="654"/>
    </row>
    <row r="363" spans="1:19" ht="12.6" customHeight="1">
      <c r="A363" s="1086" t="s">
        <v>854</v>
      </c>
      <c r="B363" s="1068" t="s">
        <v>892</v>
      </c>
      <c r="C363" s="958" t="s">
        <v>43</v>
      </c>
      <c r="D363" s="958">
        <v>1</v>
      </c>
      <c r="E363" s="1042" t="s">
        <v>517</v>
      </c>
      <c r="F363" s="266" t="s">
        <v>4</v>
      </c>
      <c r="G363" s="270">
        <f>SUM(G364:G366)</f>
        <v>230</v>
      </c>
      <c r="H363" s="1045" t="s">
        <v>84</v>
      </c>
      <c r="I363" s="1046"/>
      <c r="K363" s="654"/>
      <c r="L363" s="576"/>
      <c r="M363" s="654"/>
      <c r="N363" s="656"/>
      <c r="O363" s="657"/>
      <c r="P363" s="654"/>
      <c r="Q363" s="654"/>
      <c r="R363" s="654"/>
      <c r="S363" s="654"/>
    </row>
    <row r="364" spans="1:19" ht="12.6" customHeight="1">
      <c r="A364" s="1072"/>
      <c r="B364" s="1069"/>
      <c r="C364" s="1096"/>
      <c r="D364" s="1096"/>
      <c r="E364" s="1043"/>
      <c r="F364" s="274" t="s">
        <v>24</v>
      </c>
      <c r="G364" s="270"/>
      <c r="H364" s="1047"/>
      <c r="I364" s="1048"/>
      <c r="K364" s="654"/>
      <c r="L364" s="576"/>
      <c r="M364" s="654"/>
      <c r="N364" s="656"/>
      <c r="O364" s="657"/>
      <c r="P364" s="654"/>
      <c r="Q364" s="654"/>
      <c r="R364" s="654"/>
      <c r="S364" s="654"/>
    </row>
    <row r="365" spans="1:19" ht="12.6" customHeight="1">
      <c r="A365" s="1072"/>
      <c r="B365" s="1069"/>
      <c r="C365" s="1096"/>
      <c r="D365" s="1096"/>
      <c r="E365" s="1043"/>
      <c r="F365" s="274" t="s">
        <v>10</v>
      </c>
      <c r="G365" s="276">
        <v>0</v>
      </c>
      <c r="H365" s="1047"/>
      <c r="I365" s="1048"/>
      <c r="K365" s="654"/>
      <c r="L365" s="576"/>
      <c r="M365" s="654"/>
      <c r="N365" s="656"/>
      <c r="O365" s="657"/>
      <c r="P365" s="654"/>
      <c r="Q365" s="654"/>
      <c r="R365" s="654"/>
      <c r="S365" s="654"/>
    </row>
    <row r="366" spans="1:19" ht="12.6" customHeight="1">
      <c r="A366" s="1073"/>
      <c r="B366" s="1070"/>
      <c r="C366" s="959"/>
      <c r="D366" s="959"/>
      <c r="E366" s="1044"/>
      <c r="F366" s="274" t="s">
        <v>11</v>
      </c>
      <c r="G366" s="276">
        <v>230</v>
      </c>
      <c r="H366" s="1049"/>
      <c r="I366" s="1050"/>
      <c r="K366" s="654"/>
      <c r="L366" s="576" t="s">
        <v>913</v>
      </c>
      <c r="M366" s="654"/>
      <c r="N366" s="656"/>
      <c r="O366" s="657"/>
      <c r="P366" s="654"/>
      <c r="Q366" s="654"/>
      <c r="R366" s="654"/>
      <c r="S366" s="654"/>
    </row>
    <row r="367" spans="1:19" ht="12.6" customHeight="1">
      <c r="A367" s="1086" t="s">
        <v>912</v>
      </c>
      <c r="B367" s="1068" t="s">
        <v>911</v>
      </c>
      <c r="C367" s="958" t="s">
        <v>43</v>
      </c>
      <c r="D367" s="958">
        <v>1</v>
      </c>
      <c r="E367" s="1042" t="s">
        <v>517</v>
      </c>
      <c r="F367" s="266" t="s">
        <v>4</v>
      </c>
      <c r="G367" s="270">
        <f>SUM(G368:G370)</f>
        <v>127.979</v>
      </c>
      <c r="H367" s="1045" t="s">
        <v>84</v>
      </c>
      <c r="I367" s="1046"/>
      <c r="K367" s="654"/>
      <c r="L367" s="576"/>
      <c r="M367" s="654"/>
      <c r="N367" s="656"/>
      <c r="O367" s="657"/>
      <c r="P367" s="654"/>
      <c r="Q367" s="654"/>
      <c r="R367" s="654"/>
      <c r="S367" s="654"/>
    </row>
    <row r="368" spans="1:19" ht="12.6" customHeight="1">
      <c r="A368" s="1072"/>
      <c r="B368" s="1069"/>
      <c r="C368" s="1096"/>
      <c r="D368" s="1096"/>
      <c r="E368" s="1043"/>
      <c r="F368" s="274" t="s">
        <v>24</v>
      </c>
      <c r="G368" s="270"/>
      <c r="H368" s="1047"/>
      <c r="I368" s="1048"/>
      <c r="K368" s="654"/>
      <c r="L368" s="576"/>
      <c r="M368" s="654"/>
      <c r="N368" s="656"/>
      <c r="O368" s="657"/>
      <c r="P368" s="654"/>
      <c r="Q368" s="654"/>
      <c r="R368" s="654"/>
      <c r="S368" s="654"/>
    </row>
    <row r="369" spans="1:19" ht="12.6" customHeight="1">
      <c r="A369" s="1072"/>
      <c r="B369" s="1069"/>
      <c r="C369" s="1096"/>
      <c r="D369" s="1096"/>
      <c r="E369" s="1043"/>
      <c r="F369" s="274" t="s">
        <v>10</v>
      </c>
      <c r="G369" s="276">
        <v>0</v>
      </c>
      <c r="H369" s="1047"/>
      <c r="I369" s="1048"/>
      <c r="K369" s="654"/>
      <c r="L369" s="576"/>
      <c r="M369" s="654"/>
      <c r="N369" s="656"/>
      <c r="O369" s="657"/>
      <c r="P369" s="654"/>
      <c r="Q369" s="654"/>
      <c r="R369" s="654"/>
      <c r="S369" s="654"/>
    </row>
    <row r="370" spans="1:19" ht="12.6" customHeight="1">
      <c r="A370" s="1073"/>
      <c r="B370" s="1070"/>
      <c r="C370" s="959"/>
      <c r="D370" s="959"/>
      <c r="E370" s="1044"/>
      <c r="F370" s="274" t="s">
        <v>11</v>
      </c>
      <c r="G370" s="276">
        <v>127.979</v>
      </c>
      <c r="H370" s="1049"/>
      <c r="I370" s="1050"/>
      <c r="K370" s="654"/>
      <c r="L370" s="576" t="s">
        <v>910</v>
      </c>
      <c r="M370" s="654"/>
      <c r="N370" s="656"/>
      <c r="O370" s="657"/>
      <c r="P370" s="654"/>
      <c r="Q370" s="654"/>
      <c r="R370" s="654"/>
      <c r="S370" s="654"/>
    </row>
    <row r="371" spans="1:19" ht="13.2" customHeight="1">
      <c r="A371" s="1086"/>
      <c r="B371" s="1061" t="s">
        <v>378</v>
      </c>
      <c r="C371" s="1081" t="s">
        <v>9</v>
      </c>
      <c r="D371" s="1087" t="s">
        <v>9</v>
      </c>
      <c r="E371" s="1081" t="s">
        <v>9</v>
      </c>
      <c r="F371" s="266" t="s">
        <v>4</v>
      </c>
      <c r="G371" s="270">
        <f>G372+G373+G374+G375</f>
        <v>313837.3639</v>
      </c>
      <c r="H371" s="1090" t="s">
        <v>9</v>
      </c>
      <c r="I371" s="1091"/>
      <c r="K371" s="662">
        <f>G6+G206</f>
        <v>188579.01311000003</v>
      </c>
      <c r="L371" s="576"/>
      <c r="M371" s="654"/>
      <c r="N371" s="656"/>
      <c r="O371" s="657"/>
      <c r="P371" s="654"/>
      <c r="Q371" s="654"/>
      <c r="R371" s="654"/>
      <c r="S371" s="654"/>
    </row>
    <row r="372" spans="1:19" ht="13.2" customHeight="1">
      <c r="A372" s="1072"/>
      <c r="B372" s="1062"/>
      <c r="C372" s="1077"/>
      <c r="D372" s="1088"/>
      <c r="E372" s="1077"/>
      <c r="F372" s="274" t="s">
        <v>24</v>
      </c>
      <c r="G372" s="270">
        <f>G7+G207+G219+G267+G347+G355+G359+G364+G368</f>
        <v>273900</v>
      </c>
      <c r="H372" s="1092"/>
      <c r="I372" s="1093"/>
      <c r="K372" s="654"/>
      <c r="L372" s="576"/>
      <c r="M372" s="654"/>
      <c r="N372" s="656"/>
      <c r="O372" s="657"/>
      <c r="P372" s="654"/>
      <c r="Q372" s="654"/>
      <c r="R372" s="654"/>
      <c r="S372" s="654"/>
    </row>
    <row r="373" spans="1:19" ht="13.2" customHeight="1">
      <c r="A373" s="1072"/>
      <c r="B373" s="1062"/>
      <c r="C373" s="1077"/>
      <c r="D373" s="1088"/>
      <c r="E373" s="1077"/>
      <c r="F373" s="274" t="s">
        <v>10</v>
      </c>
      <c r="G373" s="270">
        <f>G8+G208+G220+G268+G348+G356+G360+G365+G369</f>
        <v>7965.47012</v>
      </c>
      <c r="H373" s="1092"/>
      <c r="I373" s="1093"/>
      <c r="K373" s="654"/>
      <c r="L373" s="576"/>
      <c r="M373" s="654"/>
      <c r="N373" s="656"/>
      <c r="O373" s="657"/>
      <c r="P373" s="654"/>
      <c r="Q373" s="654"/>
      <c r="R373" s="654"/>
      <c r="S373" s="654"/>
    </row>
    <row r="374" spans="1:19" ht="13.2" customHeight="1">
      <c r="A374" s="1072"/>
      <c r="B374" s="1062"/>
      <c r="C374" s="1077"/>
      <c r="D374" s="1088"/>
      <c r="E374" s="1077"/>
      <c r="F374" s="274" t="s">
        <v>11</v>
      </c>
      <c r="G374" s="270">
        <f>G9+G209+G221+G269+G349+G357+G361+G366+G370</f>
        <v>31955.986779999992</v>
      </c>
      <c r="H374" s="1092"/>
      <c r="I374" s="1093"/>
      <c r="K374" s="654"/>
      <c r="L374" s="576"/>
      <c r="M374" s="654"/>
      <c r="N374" s="656"/>
      <c r="O374" s="657"/>
      <c r="P374" s="654"/>
      <c r="Q374" s="654"/>
      <c r="R374" s="654"/>
      <c r="S374" s="654"/>
    </row>
    <row r="375" spans="1:19" ht="33" customHeight="1">
      <c r="A375" s="1073"/>
      <c r="B375" s="1063"/>
      <c r="C375" s="1078"/>
      <c r="D375" s="1089"/>
      <c r="E375" s="1078"/>
      <c r="F375" s="731" t="s">
        <v>848</v>
      </c>
      <c r="G375" s="270">
        <f>G362</f>
        <v>15.907</v>
      </c>
      <c r="H375" s="1094"/>
      <c r="I375" s="1095"/>
      <c r="K375" s="654"/>
      <c r="L375" s="576"/>
      <c r="M375" s="654"/>
      <c r="N375" s="656"/>
      <c r="O375" s="657"/>
      <c r="P375" s="654"/>
      <c r="Q375" s="654"/>
      <c r="R375" s="654"/>
      <c r="S375" s="654"/>
    </row>
    <row r="376" spans="1:19" ht="20.399999999999999" hidden="1" customHeight="1">
      <c r="A376" s="732"/>
      <c r="B376" s="733"/>
      <c r="C376" s="734"/>
      <c r="D376" s="735"/>
      <c r="E376" s="734"/>
      <c r="F376" s="736"/>
      <c r="G376" s="578"/>
      <c r="H376" s="737"/>
      <c r="I376" s="737"/>
      <c r="K376" s="654"/>
      <c r="L376" s="576"/>
      <c r="M376" s="654"/>
      <c r="N376" s="656"/>
      <c r="O376" s="657"/>
      <c r="P376" s="654"/>
      <c r="Q376" s="654"/>
      <c r="R376" s="654"/>
      <c r="S376" s="654"/>
    </row>
    <row r="377" spans="1:19" hidden="1">
      <c r="G377" s="738">
        <f>G214+G274+G278+G282+G286+G290+G342+G350</f>
        <v>15434.755789999999</v>
      </c>
      <c r="H377" s="1085" t="s">
        <v>87</v>
      </c>
      <c r="I377" s="1085"/>
      <c r="K377" s="654"/>
      <c r="L377" s="576"/>
      <c r="M377" s="654"/>
      <c r="N377" s="656"/>
      <c r="O377" s="657"/>
      <c r="P377" s="654"/>
      <c r="Q377" s="654"/>
      <c r="R377" s="654"/>
      <c r="S377" s="654"/>
    </row>
    <row r="378" spans="1:19" hidden="1">
      <c r="F378" s="274" t="s">
        <v>24</v>
      </c>
      <c r="G378" s="738">
        <f>G215+G275+G279+G283+G287+G291+G343+G351</f>
        <v>10800</v>
      </c>
      <c r="H378" s="1085"/>
      <c r="I378" s="1085"/>
      <c r="K378" s="654"/>
      <c r="L378" s="576"/>
      <c r="M378" s="654"/>
      <c r="N378" s="656"/>
      <c r="O378" s="657"/>
      <c r="P378" s="654"/>
      <c r="Q378" s="654"/>
      <c r="R378" s="654"/>
      <c r="S378" s="654"/>
    </row>
    <row r="379" spans="1:19" hidden="1">
      <c r="F379" s="274" t="s">
        <v>10</v>
      </c>
      <c r="G379" s="738">
        <f>G216+G276+G280+G284+G288+G292+G344+G352</f>
        <v>965.47011999999995</v>
      </c>
      <c r="H379" s="1085"/>
      <c r="I379" s="1085"/>
    </row>
    <row r="380" spans="1:19" hidden="1">
      <c r="F380" s="274" t="s">
        <v>11</v>
      </c>
      <c r="G380" s="738">
        <f>G217+G277+G281+G285+G289+G293+G345+G353</f>
        <v>3669.2856700000002</v>
      </c>
    </row>
    <row r="383" spans="1:19">
      <c r="F383" s="739"/>
      <c r="G383" s="545">
        <f>G274+G282+G342+G350</f>
        <v>3431.8</v>
      </c>
      <c r="H383" s="740"/>
      <c r="I383" s="741">
        <f>G363+G367</f>
        <v>357.97899999999998</v>
      </c>
      <c r="J383" s="544"/>
      <c r="K383" s="544"/>
    </row>
    <row r="384" spans="1:19">
      <c r="G384" s="545">
        <f t="shared" ref="G384:G386" si="13">G275+G283+G343+G351</f>
        <v>0</v>
      </c>
      <c r="H384" s="740"/>
      <c r="I384" s="740"/>
      <c r="J384" s="544"/>
      <c r="K384" s="544"/>
    </row>
    <row r="385" spans="7:11">
      <c r="G385" s="545">
        <f t="shared" si="13"/>
        <v>965.47011999999995</v>
      </c>
      <c r="H385" s="740"/>
      <c r="I385" s="740"/>
      <c r="J385" s="544"/>
      <c r="K385" s="544"/>
    </row>
    <row r="386" spans="7:11">
      <c r="G386" s="545">
        <f t="shared" si="13"/>
        <v>2466.3298800000002</v>
      </c>
      <c r="H386" s="740"/>
      <c r="I386" s="740"/>
      <c r="J386" s="544"/>
      <c r="K386" s="544"/>
    </row>
    <row r="387" spans="7:11">
      <c r="G387" s="544"/>
      <c r="H387" s="740"/>
      <c r="I387" s="740"/>
      <c r="J387" s="544"/>
      <c r="K387" s="544"/>
    </row>
  </sheetData>
  <mergeCells count="671">
    <mergeCell ref="A146:A149"/>
    <mergeCell ref="B146:B149"/>
    <mergeCell ref="C146:C147"/>
    <mergeCell ref="D146:D147"/>
    <mergeCell ref="E146:E149"/>
    <mergeCell ref="H146:I149"/>
    <mergeCell ref="C148:C149"/>
    <mergeCell ref="D148:D149"/>
    <mergeCell ref="F1:I1"/>
    <mergeCell ref="A2:I2"/>
    <mergeCell ref="A3:A5"/>
    <mergeCell ref="B3:B5"/>
    <mergeCell ref="C3:C5"/>
    <mergeCell ref="D3:D5"/>
    <mergeCell ref="E3:E5"/>
    <mergeCell ref="F3:F5"/>
    <mergeCell ref="G3:G5"/>
    <mergeCell ref="H3:I5"/>
    <mergeCell ref="A10:A13"/>
    <mergeCell ref="B10:B13"/>
    <mergeCell ref="C10:C11"/>
    <mergeCell ref="D10:D11"/>
    <mergeCell ref="E10:E13"/>
    <mergeCell ref="H10:I13"/>
    <mergeCell ref="C12:C13"/>
    <mergeCell ref="D12:D13"/>
    <mergeCell ref="A6:A9"/>
    <mergeCell ref="B6:B9"/>
    <mergeCell ref="C6:C7"/>
    <mergeCell ref="D6:D7"/>
    <mergeCell ref="E6:E9"/>
    <mergeCell ref="H6:I9"/>
    <mergeCell ref="C8:C9"/>
    <mergeCell ref="D8:D9"/>
    <mergeCell ref="A18:A21"/>
    <mergeCell ref="B18:B21"/>
    <mergeCell ref="C18:C19"/>
    <mergeCell ref="D18:D19"/>
    <mergeCell ref="E18:E21"/>
    <mergeCell ref="H18:I21"/>
    <mergeCell ref="C20:C21"/>
    <mergeCell ref="D20:D21"/>
    <mergeCell ref="A14:A17"/>
    <mergeCell ref="B14:B17"/>
    <mergeCell ref="C14:C15"/>
    <mergeCell ref="D14:D15"/>
    <mergeCell ref="E14:E17"/>
    <mergeCell ref="H14:I17"/>
    <mergeCell ref="C16:C17"/>
    <mergeCell ref="D16:D17"/>
    <mergeCell ref="A26:A29"/>
    <mergeCell ref="B26:B29"/>
    <mergeCell ref="C26:C27"/>
    <mergeCell ref="D26:D27"/>
    <mergeCell ref="E26:E29"/>
    <mergeCell ref="H26:I29"/>
    <mergeCell ref="C28:C29"/>
    <mergeCell ref="D28:D29"/>
    <mergeCell ref="A22:A25"/>
    <mergeCell ref="B22:B25"/>
    <mergeCell ref="C22:C23"/>
    <mergeCell ref="D22:D23"/>
    <mergeCell ref="E22:E25"/>
    <mergeCell ref="H22:I25"/>
    <mergeCell ref="C24:C25"/>
    <mergeCell ref="D24:D25"/>
    <mergeCell ref="A34:A37"/>
    <mergeCell ref="B34:B37"/>
    <mergeCell ref="C34:C35"/>
    <mergeCell ref="D34:D35"/>
    <mergeCell ref="E34:E37"/>
    <mergeCell ref="H34:I37"/>
    <mergeCell ref="C36:C37"/>
    <mergeCell ref="D36:D37"/>
    <mergeCell ref="A30:A33"/>
    <mergeCell ref="B30:B33"/>
    <mergeCell ref="C30:C31"/>
    <mergeCell ref="D30:D31"/>
    <mergeCell ref="E30:E33"/>
    <mergeCell ref="H30:I33"/>
    <mergeCell ref="C32:C33"/>
    <mergeCell ref="D32:D33"/>
    <mergeCell ref="A42:A45"/>
    <mergeCell ref="B42:B45"/>
    <mergeCell ref="C42:C43"/>
    <mergeCell ref="D42:D43"/>
    <mergeCell ref="E42:E45"/>
    <mergeCell ref="H42:I45"/>
    <mergeCell ref="C44:C45"/>
    <mergeCell ref="D44:D45"/>
    <mergeCell ref="A38:A41"/>
    <mergeCell ref="B38:B41"/>
    <mergeCell ref="C38:C39"/>
    <mergeCell ref="D38:D39"/>
    <mergeCell ref="E38:E41"/>
    <mergeCell ref="H38:I41"/>
    <mergeCell ref="C40:C41"/>
    <mergeCell ref="D40:D41"/>
    <mergeCell ref="D52:D53"/>
    <mergeCell ref="A54:A57"/>
    <mergeCell ref="B54:B57"/>
    <mergeCell ref="C54:C55"/>
    <mergeCell ref="D54:D55"/>
    <mergeCell ref="E54:E57"/>
    <mergeCell ref="N46:O46"/>
    <mergeCell ref="C48:C49"/>
    <mergeCell ref="D48:D49"/>
    <mergeCell ref="A50:A53"/>
    <mergeCell ref="B50:B53"/>
    <mergeCell ref="C50:C51"/>
    <mergeCell ref="D50:D51"/>
    <mergeCell ref="E50:E53"/>
    <mergeCell ref="H50:I53"/>
    <mergeCell ref="C52:C53"/>
    <mergeCell ref="A46:A49"/>
    <mergeCell ref="B46:B49"/>
    <mergeCell ref="C46:C47"/>
    <mergeCell ref="D46:D47"/>
    <mergeCell ref="E46:E49"/>
    <mergeCell ref="H46:I49"/>
    <mergeCell ref="D60:D61"/>
    <mergeCell ref="A62:A65"/>
    <mergeCell ref="B62:B65"/>
    <mergeCell ref="C62:C63"/>
    <mergeCell ref="D62:D63"/>
    <mergeCell ref="E62:E65"/>
    <mergeCell ref="H54:I57"/>
    <mergeCell ref="C56:C57"/>
    <mergeCell ref="D56:D57"/>
    <mergeCell ref="A58:A61"/>
    <mergeCell ref="B58:B61"/>
    <mergeCell ref="C58:C59"/>
    <mergeCell ref="D58:D59"/>
    <mergeCell ref="E58:E61"/>
    <mergeCell ref="H58:I61"/>
    <mergeCell ref="C60:C61"/>
    <mergeCell ref="D68:D69"/>
    <mergeCell ref="A70:A73"/>
    <mergeCell ref="B70:B73"/>
    <mergeCell ref="C70:C71"/>
    <mergeCell ref="D70:D71"/>
    <mergeCell ref="E70:E73"/>
    <mergeCell ref="H62:I65"/>
    <mergeCell ref="C64:C65"/>
    <mergeCell ref="D64:D65"/>
    <mergeCell ref="A66:A69"/>
    <mergeCell ref="B66:B69"/>
    <mergeCell ref="C66:C67"/>
    <mergeCell ref="D66:D67"/>
    <mergeCell ref="E66:E69"/>
    <mergeCell ref="H66:I69"/>
    <mergeCell ref="C68:C69"/>
    <mergeCell ref="D76:D77"/>
    <mergeCell ref="A78:A81"/>
    <mergeCell ref="B78:B81"/>
    <mergeCell ref="C78:C79"/>
    <mergeCell ref="D78:D79"/>
    <mergeCell ref="E78:E81"/>
    <mergeCell ref="H70:I73"/>
    <mergeCell ref="C72:C73"/>
    <mergeCell ref="D72:D73"/>
    <mergeCell ref="A74:A77"/>
    <mergeCell ref="B74:B77"/>
    <mergeCell ref="C74:C75"/>
    <mergeCell ref="D74:D75"/>
    <mergeCell ref="E74:E77"/>
    <mergeCell ref="H74:I77"/>
    <mergeCell ref="C76:C77"/>
    <mergeCell ref="D84:D85"/>
    <mergeCell ref="A86:A89"/>
    <mergeCell ref="B86:B89"/>
    <mergeCell ref="C86:C87"/>
    <mergeCell ref="D86:D87"/>
    <mergeCell ref="E86:E89"/>
    <mergeCell ref="H78:I81"/>
    <mergeCell ref="C80:C81"/>
    <mergeCell ref="D80:D81"/>
    <mergeCell ref="A82:A85"/>
    <mergeCell ref="B82:B85"/>
    <mergeCell ref="C82:C83"/>
    <mergeCell ref="D82:D83"/>
    <mergeCell ref="E82:E85"/>
    <mergeCell ref="H82:I85"/>
    <mergeCell ref="C84:C85"/>
    <mergeCell ref="D92:D93"/>
    <mergeCell ref="A94:A97"/>
    <mergeCell ref="B94:B97"/>
    <mergeCell ref="C94:C95"/>
    <mergeCell ref="D94:D95"/>
    <mergeCell ref="E94:E97"/>
    <mergeCell ref="H86:I89"/>
    <mergeCell ref="C88:C89"/>
    <mergeCell ref="D88:D89"/>
    <mergeCell ref="A90:A93"/>
    <mergeCell ref="B90:B93"/>
    <mergeCell ref="C90:C91"/>
    <mergeCell ref="D90:D91"/>
    <mergeCell ref="E90:E93"/>
    <mergeCell ref="H90:I93"/>
    <mergeCell ref="C92:C93"/>
    <mergeCell ref="D100:D101"/>
    <mergeCell ref="A102:A105"/>
    <mergeCell ref="B102:B105"/>
    <mergeCell ref="C102:C103"/>
    <mergeCell ref="D102:D103"/>
    <mergeCell ref="E102:E105"/>
    <mergeCell ref="H94:I97"/>
    <mergeCell ref="C96:C97"/>
    <mergeCell ref="D96:D97"/>
    <mergeCell ref="A98:A101"/>
    <mergeCell ref="B98:B101"/>
    <mergeCell ref="C98:C99"/>
    <mergeCell ref="D98:D99"/>
    <mergeCell ref="E98:E101"/>
    <mergeCell ref="H98:I101"/>
    <mergeCell ref="C100:C101"/>
    <mergeCell ref="H102:I105"/>
    <mergeCell ref="C104:C105"/>
    <mergeCell ref="D104:D105"/>
    <mergeCell ref="N106:O106"/>
    <mergeCell ref="C108:C109"/>
    <mergeCell ref="D108:D109"/>
    <mergeCell ref="A110:A113"/>
    <mergeCell ref="B110:B113"/>
    <mergeCell ref="C110:C111"/>
    <mergeCell ref="D110:D111"/>
    <mergeCell ref="E110:E113"/>
    <mergeCell ref="H110:I113"/>
    <mergeCell ref="C112:C113"/>
    <mergeCell ref="A106:A109"/>
    <mergeCell ref="B106:B109"/>
    <mergeCell ref="C106:C107"/>
    <mergeCell ref="D106:D107"/>
    <mergeCell ref="E106:E109"/>
    <mergeCell ref="H106:I109"/>
    <mergeCell ref="D112:D113"/>
    <mergeCell ref="D152:D153"/>
    <mergeCell ref="A154:A157"/>
    <mergeCell ref="B154:B157"/>
    <mergeCell ref="C154:C155"/>
    <mergeCell ref="D154:D155"/>
    <mergeCell ref="E154:E157"/>
    <mergeCell ref="H114:I117"/>
    <mergeCell ref="C116:C117"/>
    <mergeCell ref="D116:D117"/>
    <mergeCell ref="A150:A153"/>
    <mergeCell ref="B150:B153"/>
    <mergeCell ref="C150:C151"/>
    <mergeCell ref="D150:D151"/>
    <mergeCell ref="E150:E153"/>
    <mergeCell ref="H150:I153"/>
    <mergeCell ref="C152:C153"/>
    <mergeCell ref="A114:A117"/>
    <mergeCell ref="B114:B117"/>
    <mergeCell ref="C114:C115"/>
    <mergeCell ref="D114:D115"/>
    <mergeCell ref="E114:E117"/>
    <mergeCell ref="A142:A145"/>
    <mergeCell ref="B142:B145"/>
    <mergeCell ref="C142:C143"/>
    <mergeCell ref="D160:D161"/>
    <mergeCell ref="A162:A165"/>
    <mergeCell ref="B162:B165"/>
    <mergeCell ref="C162:C163"/>
    <mergeCell ref="D162:D163"/>
    <mergeCell ref="E162:E165"/>
    <mergeCell ref="H154:I157"/>
    <mergeCell ref="C156:C157"/>
    <mergeCell ref="D156:D157"/>
    <mergeCell ref="A158:A161"/>
    <mergeCell ref="B158:B161"/>
    <mergeCell ref="C158:C159"/>
    <mergeCell ref="D158:D159"/>
    <mergeCell ref="E158:E161"/>
    <mergeCell ref="H158:I161"/>
    <mergeCell ref="C160:C161"/>
    <mergeCell ref="D168:D169"/>
    <mergeCell ref="A170:A173"/>
    <mergeCell ref="B170:B173"/>
    <mergeCell ref="C170:C171"/>
    <mergeCell ref="D170:D171"/>
    <mergeCell ref="E170:E173"/>
    <mergeCell ref="H162:I165"/>
    <mergeCell ref="C164:C165"/>
    <mergeCell ref="D164:D165"/>
    <mergeCell ref="A166:A169"/>
    <mergeCell ref="B166:B169"/>
    <mergeCell ref="C166:C167"/>
    <mergeCell ref="D166:D167"/>
    <mergeCell ref="E166:E169"/>
    <mergeCell ref="H166:I169"/>
    <mergeCell ref="C168:C169"/>
    <mergeCell ref="D176:D177"/>
    <mergeCell ref="A178:A181"/>
    <mergeCell ref="B178:B181"/>
    <mergeCell ref="C178:C179"/>
    <mergeCell ref="D178:D179"/>
    <mergeCell ref="E178:E181"/>
    <mergeCell ref="H170:I173"/>
    <mergeCell ref="C172:C173"/>
    <mergeCell ref="D172:D173"/>
    <mergeCell ref="A174:A177"/>
    <mergeCell ref="B174:B177"/>
    <mergeCell ref="C174:C175"/>
    <mergeCell ref="D174:D175"/>
    <mergeCell ref="E174:E177"/>
    <mergeCell ref="H174:I177"/>
    <mergeCell ref="C176:C177"/>
    <mergeCell ref="D184:D185"/>
    <mergeCell ref="A186:A189"/>
    <mergeCell ref="B186:B189"/>
    <mergeCell ref="C186:C187"/>
    <mergeCell ref="D186:D187"/>
    <mergeCell ref="E186:E189"/>
    <mergeCell ref="H178:I181"/>
    <mergeCell ref="C180:C181"/>
    <mergeCell ref="D180:D181"/>
    <mergeCell ref="A182:A185"/>
    <mergeCell ref="B182:B185"/>
    <mergeCell ref="C182:C183"/>
    <mergeCell ref="D182:D183"/>
    <mergeCell ref="E182:E185"/>
    <mergeCell ref="H182:I185"/>
    <mergeCell ref="C184:C185"/>
    <mergeCell ref="C192:C193"/>
    <mergeCell ref="D192:D193"/>
    <mergeCell ref="A194:A197"/>
    <mergeCell ref="B194:B197"/>
    <mergeCell ref="C194:C195"/>
    <mergeCell ref="D194:D195"/>
    <mergeCell ref="H186:I189"/>
    <mergeCell ref="M186:N186"/>
    <mergeCell ref="C188:C189"/>
    <mergeCell ref="D188:D189"/>
    <mergeCell ref="A190:A193"/>
    <mergeCell ref="B190:B193"/>
    <mergeCell ref="C190:C191"/>
    <mergeCell ref="D190:D191"/>
    <mergeCell ref="E190:E193"/>
    <mergeCell ref="H190:I193"/>
    <mergeCell ref="C200:C201"/>
    <mergeCell ref="D200:D201"/>
    <mergeCell ref="A202:A205"/>
    <mergeCell ref="B202:B205"/>
    <mergeCell ref="C202:C203"/>
    <mergeCell ref="D202:D203"/>
    <mergeCell ref="E194:E197"/>
    <mergeCell ref="H194:I197"/>
    <mergeCell ref="C196:C197"/>
    <mergeCell ref="D196:D197"/>
    <mergeCell ref="A198:A201"/>
    <mergeCell ref="B198:B201"/>
    <mergeCell ref="C198:C199"/>
    <mergeCell ref="D198:D199"/>
    <mergeCell ref="E198:E201"/>
    <mergeCell ref="H198:I201"/>
    <mergeCell ref="E202:E205"/>
    <mergeCell ref="H202:I205"/>
    <mergeCell ref="C204:C205"/>
    <mergeCell ref="D204:D205"/>
    <mergeCell ref="A218:A221"/>
    <mergeCell ref="B218:B221"/>
    <mergeCell ref="C218:C221"/>
    <mergeCell ref="D218:D221"/>
    <mergeCell ref="E218:E221"/>
    <mergeCell ref="H218:I221"/>
    <mergeCell ref="A206:A209"/>
    <mergeCell ref="B206:B209"/>
    <mergeCell ref="C206:C209"/>
    <mergeCell ref="D206:D209"/>
    <mergeCell ref="E206:E209"/>
    <mergeCell ref="H206:I209"/>
    <mergeCell ref="A214:A217"/>
    <mergeCell ref="B214:B217"/>
    <mergeCell ref="C214:C217"/>
    <mergeCell ref="D214:D217"/>
    <mergeCell ref="E214:E217"/>
    <mergeCell ref="H214:I217"/>
    <mergeCell ref="A210:A213"/>
    <mergeCell ref="B210:B213"/>
    <mergeCell ref="C210:C213"/>
    <mergeCell ref="D210:D213"/>
    <mergeCell ref="E210:E213"/>
    <mergeCell ref="H210:I213"/>
    <mergeCell ref="A226:A229"/>
    <mergeCell ref="B226:B229"/>
    <mergeCell ref="C226:C229"/>
    <mergeCell ref="D226:D229"/>
    <mergeCell ref="E226:E229"/>
    <mergeCell ref="H226:I229"/>
    <mergeCell ref="A222:A225"/>
    <mergeCell ref="B222:B225"/>
    <mergeCell ref="C222:C225"/>
    <mergeCell ref="D222:D225"/>
    <mergeCell ref="E222:E225"/>
    <mergeCell ref="H222:I225"/>
    <mergeCell ref="A234:A237"/>
    <mergeCell ref="B234:B237"/>
    <mergeCell ref="C234:C237"/>
    <mergeCell ref="D234:D237"/>
    <mergeCell ref="E234:E237"/>
    <mergeCell ref="H234:I237"/>
    <mergeCell ref="A230:A233"/>
    <mergeCell ref="B230:B233"/>
    <mergeCell ref="C230:C233"/>
    <mergeCell ref="D230:D233"/>
    <mergeCell ref="E230:E233"/>
    <mergeCell ref="H230:I233"/>
    <mergeCell ref="A238:A241"/>
    <mergeCell ref="B238:B241"/>
    <mergeCell ref="C238:C241"/>
    <mergeCell ref="D238:D241"/>
    <mergeCell ref="E238:E241"/>
    <mergeCell ref="H238:I241"/>
    <mergeCell ref="A242:A245"/>
    <mergeCell ref="B242:B245"/>
    <mergeCell ref="C242:C245"/>
    <mergeCell ref="D242:D245"/>
    <mergeCell ref="E242:E245"/>
    <mergeCell ref="H242:I245"/>
    <mergeCell ref="A246:A249"/>
    <mergeCell ref="B246:B249"/>
    <mergeCell ref="C246:C249"/>
    <mergeCell ref="D246:D249"/>
    <mergeCell ref="E246:E249"/>
    <mergeCell ref="H246:I249"/>
    <mergeCell ref="A250:A253"/>
    <mergeCell ref="B250:B253"/>
    <mergeCell ref="C250:C253"/>
    <mergeCell ref="D250:D253"/>
    <mergeCell ref="E250:E253"/>
    <mergeCell ref="H250:I253"/>
    <mergeCell ref="H266:I269"/>
    <mergeCell ref="A262:A265"/>
    <mergeCell ref="B262:B265"/>
    <mergeCell ref="C262:C265"/>
    <mergeCell ref="D262:D265"/>
    <mergeCell ref="E262:E265"/>
    <mergeCell ref="H262:I265"/>
    <mergeCell ref="A254:A257"/>
    <mergeCell ref="B254:B257"/>
    <mergeCell ref="C254:C257"/>
    <mergeCell ref="D254:D257"/>
    <mergeCell ref="E254:E257"/>
    <mergeCell ref="H254:I257"/>
    <mergeCell ref="A258:A261"/>
    <mergeCell ref="B258:B261"/>
    <mergeCell ref="C258:C261"/>
    <mergeCell ref="D258:D261"/>
    <mergeCell ref="E258:E261"/>
    <mergeCell ref="H258:I261"/>
    <mergeCell ref="A266:A269"/>
    <mergeCell ref="B266:B269"/>
    <mergeCell ref="C266:C269"/>
    <mergeCell ref="D266:D269"/>
    <mergeCell ref="E266:E269"/>
    <mergeCell ref="L270:L273"/>
    <mergeCell ref="A274:A277"/>
    <mergeCell ref="B274:B277"/>
    <mergeCell ref="C274:C277"/>
    <mergeCell ref="D274:D277"/>
    <mergeCell ref="E274:E277"/>
    <mergeCell ref="H274:I277"/>
    <mergeCell ref="A270:A273"/>
    <mergeCell ref="B270:B273"/>
    <mergeCell ref="C270:C273"/>
    <mergeCell ref="D270:D273"/>
    <mergeCell ref="E270:E273"/>
    <mergeCell ref="H270:I273"/>
    <mergeCell ref="A282:A285"/>
    <mergeCell ref="B282:B285"/>
    <mergeCell ref="C282:C285"/>
    <mergeCell ref="D282:D285"/>
    <mergeCell ref="E282:E285"/>
    <mergeCell ref="H282:I285"/>
    <mergeCell ref="A278:A281"/>
    <mergeCell ref="B278:B281"/>
    <mergeCell ref="C278:C281"/>
    <mergeCell ref="D278:D281"/>
    <mergeCell ref="E278:E281"/>
    <mergeCell ref="H278:I281"/>
    <mergeCell ref="A290:A293"/>
    <mergeCell ref="B290:B293"/>
    <mergeCell ref="C290:C293"/>
    <mergeCell ref="D290:D293"/>
    <mergeCell ref="E290:E293"/>
    <mergeCell ref="H290:I293"/>
    <mergeCell ref="A286:A289"/>
    <mergeCell ref="B286:B289"/>
    <mergeCell ref="C286:C289"/>
    <mergeCell ref="D286:D289"/>
    <mergeCell ref="E286:E289"/>
    <mergeCell ref="H286:I289"/>
    <mergeCell ref="A298:A301"/>
    <mergeCell ref="B298:B301"/>
    <mergeCell ref="C298:C301"/>
    <mergeCell ref="D298:D301"/>
    <mergeCell ref="E298:E301"/>
    <mergeCell ref="H298:I301"/>
    <mergeCell ref="A294:A297"/>
    <mergeCell ref="B294:B297"/>
    <mergeCell ref="C294:C297"/>
    <mergeCell ref="D294:D297"/>
    <mergeCell ref="E294:E297"/>
    <mergeCell ref="H294:I297"/>
    <mergeCell ref="A306:A309"/>
    <mergeCell ref="B306:B309"/>
    <mergeCell ref="C306:C309"/>
    <mergeCell ref="D306:D309"/>
    <mergeCell ref="E306:E309"/>
    <mergeCell ref="H306:I309"/>
    <mergeCell ref="A302:A305"/>
    <mergeCell ref="B302:B305"/>
    <mergeCell ref="C302:C305"/>
    <mergeCell ref="D302:D305"/>
    <mergeCell ref="E302:E305"/>
    <mergeCell ref="H302:I305"/>
    <mergeCell ref="K310:K313"/>
    <mergeCell ref="A314:A317"/>
    <mergeCell ref="B314:B317"/>
    <mergeCell ref="C314:C317"/>
    <mergeCell ref="D314:D317"/>
    <mergeCell ref="E314:E317"/>
    <mergeCell ref="H314:I317"/>
    <mergeCell ref="K314:K317"/>
    <mergeCell ref="A310:A313"/>
    <mergeCell ref="B310:B313"/>
    <mergeCell ref="C310:C313"/>
    <mergeCell ref="D310:D313"/>
    <mergeCell ref="E310:E313"/>
    <mergeCell ref="H310:I313"/>
    <mergeCell ref="A322:A325"/>
    <mergeCell ref="B322:B325"/>
    <mergeCell ref="C322:C325"/>
    <mergeCell ref="D322:D325"/>
    <mergeCell ref="E322:E325"/>
    <mergeCell ref="H322:I325"/>
    <mergeCell ref="A318:A321"/>
    <mergeCell ref="B318:B321"/>
    <mergeCell ref="C318:C321"/>
    <mergeCell ref="D318:D321"/>
    <mergeCell ref="E318:E321"/>
    <mergeCell ref="H318:I321"/>
    <mergeCell ref="A330:A333"/>
    <mergeCell ref="B330:B333"/>
    <mergeCell ref="C330:C333"/>
    <mergeCell ref="D330:D333"/>
    <mergeCell ref="E330:E333"/>
    <mergeCell ref="H330:I333"/>
    <mergeCell ref="A326:A329"/>
    <mergeCell ref="B326:B329"/>
    <mergeCell ref="C326:C329"/>
    <mergeCell ref="D326:D329"/>
    <mergeCell ref="E326:E329"/>
    <mergeCell ref="H326:I329"/>
    <mergeCell ref="A342:A345"/>
    <mergeCell ref="B342:B345"/>
    <mergeCell ref="C342:C345"/>
    <mergeCell ref="D342:D345"/>
    <mergeCell ref="E342:E345"/>
    <mergeCell ref="H342:I345"/>
    <mergeCell ref="K334:K337"/>
    <mergeCell ref="M334:N334"/>
    <mergeCell ref="A338:A341"/>
    <mergeCell ref="B338:B341"/>
    <mergeCell ref="C338:C341"/>
    <mergeCell ref="D338:D341"/>
    <mergeCell ref="E338:E341"/>
    <mergeCell ref="H338:I341"/>
    <mergeCell ref="A334:A337"/>
    <mergeCell ref="B334:B337"/>
    <mergeCell ref="C334:C337"/>
    <mergeCell ref="D334:D337"/>
    <mergeCell ref="E334:E337"/>
    <mergeCell ref="H334:I337"/>
    <mergeCell ref="A350:A353"/>
    <mergeCell ref="B350:B353"/>
    <mergeCell ref="C350:C353"/>
    <mergeCell ref="D350:D353"/>
    <mergeCell ref="E350:E353"/>
    <mergeCell ref="H350:I353"/>
    <mergeCell ref="A346:A349"/>
    <mergeCell ref="B346:B349"/>
    <mergeCell ref="C346:C349"/>
    <mergeCell ref="D346:D349"/>
    <mergeCell ref="E346:E349"/>
    <mergeCell ref="H346:I349"/>
    <mergeCell ref="A358:A362"/>
    <mergeCell ref="B358:B362"/>
    <mergeCell ref="C358:C362"/>
    <mergeCell ref="D358:D362"/>
    <mergeCell ref="E358:E362"/>
    <mergeCell ref="H358:I361"/>
    <mergeCell ref="A354:A357"/>
    <mergeCell ref="B354:B357"/>
    <mergeCell ref="C354:C357"/>
    <mergeCell ref="D354:D357"/>
    <mergeCell ref="E354:E357"/>
    <mergeCell ref="H354:I357"/>
    <mergeCell ref="D142:D143"/>
    <mergeCell ref="E142:E145"/>
    <mergeCell ref="H142:I145"/>
    <mergeCell ref="C144:C145"/>
    <mergeCell ref="D144:D145"/>
    <mergeCell ref="H377:I379"/>
    <mergeCell ref="A371:A375"/>
    <mergeCell ref="B371:B375"/>
    <mergeCell ref="C371:C375"/>
    <mergeCell ref="D371:D375"/>
    <mergeCell ref="E371:E375"/>
    <mergeCell ref="H371:I375"/>
    <mergeCell ref="A363:A366"/>
    <mergeCell ref="B363:B366"/>
    <mergeCell ref="C363:C366"/>
    <mergeCell ref="D363:D366"/>
    <mergeCell ref="E363:E366"/>
    <mergeCell ref="H363:I366"/>
    <mergeCell ref="A367:A370"/>
    <mergeCell ref="B367:B370"/>
    <mergeCell ref="C367:C370"/>
    <mergeCell ref="D367:D370"/>
    <mergeCell ref="E367:E370"/>
    <mergeCell ref="H367:I370"/>
    <mergeCell ref="A118:A121"/>
    <mergeCell ref="B118:B121"/>
    <mergeCell ref="C118:C119"/>
    <mergeCell ref="D118:D119"/>
    <mergeCell ref="E118:E121"/>
    <mergeCell ref="H118:I121"/>
    <mergeCell ref="C120:C121"/>
    <mergeCell ref="D120:D121"/>
    <mergeCell ref="A122:A125"/>
    <mergeCell ref="B122:B125"/>
    <mergeCell ref="C122:C123"/>
    <mergeCell ref="D122:D123"/>
    <mergeCell ref="E122:E125"/>
    <mergeCell ref="H122:I125"/>
    <mergeCell ref="C124:C125"/>
    <mergeCell ref="D124:D125"/>
    <mergeCell ref="A126:A129"/>
    <mergeCell ref="B126:B129"/>
    <mergeCell ref="C126:C127"/>
    <mergeCell ref="D126:D127"/>
    <mergeCell ref="E126:E129"/>
    <mergeCell ref="H126:I129"/>
    <mergeCell ref="C128:C129"/>
    <mergeCell ref="D128:D129"/>
    <mergeCell ref="A130:A133"/>
    <mergeCell ref="B130:B133"/>
    <mergeCell ref="C130:C131"/>
    <mergeCell ref="D130:D131"/>
    <mergeCell ref="E130:E133"/>
    <mergeCell ref="H130:I133"/>
    <mergeCell ref="C132:C133"/>
    <mergeCell ref="D132:D133"/>
    <mergeCell ref="A134:A137"/>
    <mergeCell ref="B134:B137"/>
    <mergeCell ref="C134:C135"/>
    <mergeCell ref="D134:D135"/>
    <mergeCell ref="E134:E137"/>
    <mergeCell ref="H134:I137"/>
    <mergeCell ref="C136:C137"/>
    <mergeCell ref="D136:D137"/>
    <mergeCell ref="A138:A141"/>
    <mergeCell ref="B138:B141"/>
    <mergeCell ref="C138:C139"/>
    <mergeCell ref="D138:D139"/>
    <mergeCell ref="E138:E141"/>
    <mergeCell ref="H138:I141"/>
    <mergeCell ref="C140:C141"/>
    <mergeCell ref="D140:D141"/>
  </mergeCells>
  <pageMargins left="0.78740157480314965" right="0.39370078740157483" top="0.19685039370078741" bottom="0.19685039370078741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Y125"/>
  <sheetViews>
    <sheetView topLeftCell="A96" workbookViewId="0">
      <selection activeCell="A2" sqref="A2:I2"/>
    </sheetView>
  </sheetViews>
  <sheetFormatPr defaultColWidth="8.88671875" defaultRowHeight="14.4"/>
  <cols>
    <col min="1" max="1" width="6.44140625" style="433" customWidth="1"/>
    <col min="2" max="2" width="62.33203125" style="433" customWidth="1"/>
    <col min="3" max="5" width="8.88671875" style="433"/>
    <col min="6" max="6" width="18.33203125" style="438" customWidth="1"/>
    <col min="7" max="7" width="17.6640625" style="433" customWidth="1"/>
    <col min="8" max="8" width="8.88671875" style="433"/>
    <col min="9" max="9" width="19.5546875" style="433" customWidth="1"/>
    <col min="10" max="10" width="14.5546875" style="425" customWidth="1"/>
    <col min="11" max="11" width="11.88671875" style="425" customWidth="1"/>
    <col min="12" max="12" width="10.88671875" style="425" bestFit="1" customWidth="1"/>
    <col min="13" max="25" width="8.88671875" style="425"/>
    <col min="26" max="16384" width="8.88671875" style="254"/>
  </cols>
  <sheetData>
    <row r="1" spans="1:12" ht="35.4" customHeight="1">
      <c r="F1" s="1192" t="s">
        <v>698</v>
      </c>
      <c r="G1" s="1192"/>
      <c r="H1" s="1192"/>
      <c r="I1" s="1192"/>
    </row>
    <row r="2" spans="1:12" ht="21" customHeight="1">
      <c r="A2" s="1193" t="s">
        <v>578</v>
      </c>
      <c r="B2" s="1193"/>
      <c r="C2" s="1193"/>
      <c r="D2" s="1193"/>
      <c r="E2" s="1193"/>
      <c r="F2" s="1193"/>
      <c r="G2" s="1193"/>
      <c r="H2" s="1193"/>
      <c r="I2" s="1193"/>
    </row>
    <row r="3" spans="1:12" ht="15" customHeight="1">
      <c r="A3" s="1038" t="s">
        <v>0</v>
      </c>
      <c r="B3" s="1039" t="s">
        <v>6</v>
      </c>
      <c r="C3" s="1039" t="s">
        <v>7</v>
      </c>
      <c r="D3" s="1040" t="s">
        <v>79</v>
      </c>
      <c r="E3" s="1039" t="s">
        <v>369</v>
      </c>
      <c r="F3" s="1039" t="s">
        <v>76</v>
      </c>
      <c r="G3" s="1041" t="s">
        <v>77</v>
      </c>
      <c r="H3" s="1041" t="s">
        <v>370</v>
      </c>
      <c r="I3" s="1041"/>
    </row>
    <row r="4" spans="1:12">
      <c r="A4" s="1038"/>
      <c r="B4" s="1039"/>
      <c r="C4" s="1039"/>
      <c r="D4" s="1040"/>
      <c r="E4" s="1039"/>
      <c r="F4" s="1039"/>
      <c r="G4" s="1041"/>
      <c r="H4" s="1041"/>
      <c r="I4" s="1041"/>
    </row>
    <row r="5" spans="1:12" ht="12.6" customHeight="1">
      <c r="A5" s="1038"/>
      <c r="B5" s="1039"/>
      <c r="C5" s="1039"/>
      <c r="D5" s="1040"/>
      <c r="E5" s="1039"/>
      <c r="F5" s="1039"/>
      <c r="G5" s="1041"/>
      <c r="H5" s="1041"/>
      <c r="I5" s="1041"/>
    </row>
    <row r="6" spans="1:12" ht="19.5" customHeight="1">
      <c r="A6" s="1024" t="s">
        <v>3</v>
      </c>
      <c r="B6" s="1030" t="s">
        <v>371</v>
      </c>
      <c r="C6" s="1026"/>
      <c r="D6" s="1026"/>
      <c r="E6" s="1183" t="s">
        <v>579</v>
      </c>
      <c r="F6" s="266" t="s">
        <v>4</v>
      </c>
      <c r="G6" s="267">
        <f>SUM(G7:G8)</f>
        <v>31901.085370000001</v>
      </c>
      <c r="H6" s="1183" t="s">
        <v>9</v>
      </c>
      <c r="I6" s="1183"/>
    </row>
    <row r="7" spans="1:12" ht="19.5" customHeight="1">
      <c r="A7" s="1024"/>
      <c r="B7" s="1030"/>
      <c r="C7" s="515" t="s">
        <v>131</v>
      </c>
      <c r="D7" s="269">
        <f>D10+D37</f>
        <v>824</v>
      </c>
      <c r="E7" s="1183"/>
      <c r="F7" s="266" t="s">
        <v>10</v>
      </c>
      <c r="G7" s="267">
        <f>G10+G37</f>
        <v>23580</v>
      </c>
      <c r="H7" s="1183"/>
      <c r="I7" s="1183"/>
    </row>
    <row r="8" spans="1:12" ht="19.5" customHeight="1">
      <c r="A8" s="1024"/>
      <c r="B8" s="1030"/>
      <c r="C8" s="515" t="s">
        <v>215</v>
      </c>
      <c r="D8" s="516">
        <f>D11+D38</f>
        <v>12539.380000000001</v>
      </c>
      <c r="E8" s="1183"/>
      <c r="F8" s="266" t="s">
        <v>978</v>
      </c>
      <c r="G8" s="267">
        <f>G11+G38</f>
        <v>8321.0853700000007</v>
      </c>
      <c r="H8" s="1183"/>
      <c r="I8" s="1183"/>
      <c r="J8" s="544"/>
      <c r="K8" s="544" t="s">
        <v>695</v>
      </c>
      <c r="L8" s="544"/>
    </row>
    <row r="9" spans="1:12" ht="15" customHeight="1">
      <c r="A9" s="1029" t="s">
        <v>82</v>
      </c>
      <c r="B9" s="1030" t="s">
        <v>83</v>
      </c>
      <c r="C9" s="1026"/>
      <c r="D9" s="1026"/>
      <c r="E9" s="1183" t="s">
        <v>579</v>
      </c>
      <c r="F9" s="266" t="s">
        <v>4</v>
      </c>
      <c r="G9" s="272">
        <f>SUM(G10:G11)</f>
        <v>24859.268369999998</v>
      </c>
      <c r="H9" s="1039" t="s">
        <v>84</v>
      </c>
      <c r="I9" s="1039"/>
      <c r="J9" s="549">
        <f>SUM(J10:J11)</f>
        <v>23133.109369999998</v>
      </c>
      <c r="K9" s="545">
        <f>G9-J9</f>
        <v>1726.1589999999997</v>
      </c>
      <c r="L9" s="544"/>
    </row>
    <row r="10" spans="1:12" ht="15" customHeight="1">
      <c r="A10" s="1029"/>
      <c r="B10" s="1030"/>
      <c r="C10" s="515" t="s">
        <v>131</v>
      </c>
      <c r="D10" s="517">
        <f>D13+D16+D19+D22</f>
        <v>562</v>
      </c>
      <c r="E10" s="1183"/>
      <c r="F10" s="266" t="s">
        <v>10</v>
      </c>
      <c r="G10" s="272">
        <f>G13+G16+G19+G22+G25+G28+G31+G34</f>
        <v>17242.364699999998</v>
      </c>
      <c r="H10" s="1039"/>
      <c r="I10" s="1039"/>
      <c r="J10" s="549">
        <f>J13+J16+J19+J22</f>
        <v>16265.518959999999</v>
      </c>
      <c r="K10" s="545">
        <f t="shared" ref="K10:K29" si="0">G10-J10</f>
        <v>976.84573999999884</v>
      </c>
      <c r="L10" s="544"/>
    </row>
    <row r="11" spans="1:12" ht="15" customHeight="1">
      <c r="A11" s="1029"/>
      <c r="B11" s="1030"/>
      <c r="C11" s="515" t="s">
        <v>215</v>
      </c>
      <c r="D11" s="517">
        <f>D14+D17+D20+D23+D26+D29+D32+D35</f>
        <v>10675.480000000001</v>
      </c>
      <c r="E11" s="1183"/>
      <c r="F11" s="266" t="s">
        <v>978</v>
      </c>
      <c r="G11" s="272">
        <f>G14+G17+G20+G23+G26+G29+G32+G35</f>
        <v>7616.9036700000006</v>
      </c>
      <c r="H11" s="1039"/>
      <c r="I11" s="1039"/>
      <c r="J11" s="549">
        <f>J14+J17+J20+J23+J26+J29</f>
        <v>6867.5904100000007</v>
      </c>
      <c r="K11" s="545">
        <f t="shared" si="0"/>
        <v>749.3132599999999</v>
      </c>
      <c r="L11" s="544"/>
    </row>
    <row r="12" spans="1:12" ht="16.2" customHeight="1">
      <c r="A12" s="1011" t="s">
        <v>35</v>
      </c>
      <c r="B12" s="1196" t="s">
        <v>600</v>
      </c>
      <c r="C12" s="1033"/>
      <c r="D12" s="1033"/>
      <c r="E12" s="1032" t="s">
        <v>579</v>
      </c>
      <c r="F12" s="434" t="s">
        <v>4</v>
      </c>
      <c r="G12" s="533">
        <f>G13+G14</f>
        <v>6667.4802399999999</v>
      </c>
      <c r="H12" s="840" t="s">
        <v>84</v>
      </c>
      <c r="I12" s="840"/>
      <c r="J12" s="546">
        <f>J13+J14</f>
        <v>6667.4802399999999</v>
      </c>
      <c r="K12" s="545">
        <f t="shared" si="0"/>
        <v>0</v>
      </c>
      <c r="L12" s="544"/>
    </row>
    <row r="13" spans="1:12" ht="16.2" customHeight="1">
      <c r="A13" s="1011"/>
      <c r="B13" s="1196"/>
      <c r="C13" s="514" t="s">
        <v>131</v>
      </c>
      <c r="D13" s="436"/>
      <c r="E13" s="1032"/>
      <c r="F13" s="437" t="s">
        <v>10</v>
      </c>
      <c r="G13" s="534">
        <v>6000.7322199999999</v>
      </c>
      <c r="H13" s="840"/>
      <c r="I13" s="840"/>
      <c r="J13" s="545">
        <v>6000.7322199999999</v>
      </c>
      <c r="K13" s="545">
        <f t="shared" si="0"/>
        <v>0</v>
      </c>
      <c r="L13" s="544"/>
    </row>
    <row r="14" spans="1:12" ht="15.6" customHeight="1">
      <c r="A14" s="1011"/>
      <c r="B14" s="1196"/>
      <c r="C14" s="514" t="s">
        <v>215</v>
      </c>
      <c r="D14" s="436" t="s">
        <v>974</v>
      </c>
      <c r="E14" s="1032"/>
      <c r="F14" s="437" t="s">
        <v>978</v>
      </c>
      <c r="G14" s="534">
        <v>666.74802</v>
      </c>
      <c r="H14" s="840"/>
      <c r="I14" s="840"/>
      <c r="J14" s="545">
        <v>666.74802</v>
      </c>
      <c r="K14" s="545">
        <f t="shared" si="0"/>
        <v>0</v>
      </c>
      <c r="L14" s="544"/>
    </row>
    <row r="15" spans="1:12" ht="18" customHeight="1">
      <c r="A15" s="1011" t="s">
        <v>40</v>
      </c>
      <c r="B15" s="1196" t="s">
        <v>943</v>
      </c>
      <c r="C15" s="1033"/>
      <c r="D15" s="1033"/>
      <c r="E15" s="1032" t="s">
        <v>579</v>
      </c>
      <c r="F15" s="434" t="s">
        <v>4</v>
      </c>
      <c r="G15" s="393">
        <f>SUM(G16:G17)</f>
        <v>1744.2576000000001</v>
      </c>
      <c r="H15" s="840" t="s">
        <v>84</v>
      </c>
      <c r="I15" s="840"/>
      <c r="J15" s="546">
        <f t="shared" ref="J15" si="1">J16+J17</f>
        <v>1744.2576000000001</v>
      </c>
      <c r="K15" s="545">
        <f t="shared" si="0"/>
        <v>0</v>
      </c>
      <c r="L15" s="544"/>
    </row>
    <row r="16" spans="1:12" ht="18" customHeight="1">
      <c r="A16" s="1011"/>
      <c r="B16" s="1196"/>
      <c r="C16" s="514" t="s">
        <v>131</v>
      </c>
      <c r="D16" s="436" t="s">
        <v>1005</v>
      </c>
      <c r="E16" s="1032"/>
      <c r="F16" s="437" t="s">
        <v>10</v>
      </c>
      <c r="G16" s="391">
        <v>1569.8318400000001</v>
      </c>
      <c r="H16" s="840"/>
      <c r="I16" s="840"/>
      <c r="J16" s="545">
        <v>1569.8318400000001</v>
      </c>
      <c r="K16" s="545">
        <f t="shared" si="0"/>
        <v>0</v>
      </c>
      <c r="L16" s="544"/>
    </row>
    <row r="17" spans="1:12" ht="18" customHeight="1">
      <c r="A17" s="1011"/>
      <c r="B17" s="1196"/>
      <c r="C17" s="514" t="s">
        <v>215</v>
      </c>
      <c r="D17" s="436" t="s">
        <v>1006</v>
      </c>
      <c r="E17" s="1032"/>
      <c r="F17" s="437" t="s">
        <v>978</v>
      </c>
      <c r="G17" s="391">
        <f>174.42516+0.0006</f>
        <v>174.42576</v>
      </c>
      <c r="H17" s="840"/>
      <c r="I17" s="840"/>
      <c r="J17" s="545">
        <v>174.42576</v>
      </c>
      <c r="K17" s="545">
        <f t="shared" si="0"/>
        <v>0</v>
      </c>
      <c r="L17" s="544"/>
    </row>
    <row r="18" spans="1:12" ht="16.2" customHeight="1">
      <c r="A18" s="1086" t="s">
        <v>200</v>
      </c>
      <c r="B18" s="1068" t="s">
        <v>944</v>
      </c>
      <c r="C18" s="1188"/>
      <c r="D18" s="1189"/>
      <c r="E18" s="1032" t="s">
        <v>579</v>
      </c>
      <c r="F18" s="434" t="s">
        <v>4</v>
      </c>
      <c r="G18" s="393">
        <f>SUM(G19:G20)</f>
        <v>8631.0609999999997</v>
      </c>
      <c r="H18" s="840" t="s">
        <v>84</v>
      </c>
      <c r="I18" s="840"/>
      <c r="J18" s="546">
        <f t="shared" ref="J18" si="2">J19+J20</f>
        <v>8631.0609999999997</v>
      </c>
      <c r="K18" s="545">
        <f t="shared" si="0"/>
        <v>0</v>
      </c>
      <c r="L18" s="544"/>
    </row>
    <row r="19" spans="1:12" ht="16.2" customHeight="1">
      <c r="A19" s="1072"/>
      <c r="B19" s="1069"/>
      <c r="C19" s="514" t="s">
        <v>131</v>
      </c>
      <c r="D19" s="436" t="s">
        <v>1007</v>
      </c>
      <c r="E19" s="1032"/>
      <c r="F19" s="437" t="s">
        <v>10</v>
      </c>
      <c r="G19" s="391">
        <v>7767.9548999999997</v>
      </c>
      <c r="H19" s="840"/>
      <c r="I19" s="840"/>
      <c r="J19" s="547">
        <v>7767.9548999999997</v>
      </c>
      <c r="K19" s="545">
        <f t="shared" si="0"/>
        <v>0</v>
      </c>
      <c r="L19" s="544"/>
    </row>
    <row r="20" spans="1:12" ht="16.2" customHeight="1">
      <c r="A20" s="1072"/>
      <c r="B20" s="1069"/>
      <c r="C20" s="514" t="s">
        <v>215</v>
      </c>
      <c r="D20" s="436" t="s">
        <v>1008</v>
      </c>
      <c r="E20" s="1032"/>
      <c r="F20" s="437" t="s">
        <v>978</v>
      </c>
      <c r="G20" s="391">
        <v>863.10609999999997</v>
      </c>
      <c r="H20" s="840"/>
      <c r="I20" s="840"/>
      <c r="J20" s="547">
        <v>863.10609999999997</v>
      </c>
      <c r="K20" s="545">
        <f t="shared" si="0"/>
        <v>0</v>
      </c>
      <c r="L20" s="544"/>
    </row>
    <row r="21" spans="1:12" ht="16.2" customHeight="1">
      <c r="A21" s="1086" t="s">
        <v>201</v>
      </c>
      <c r="B21" s="1068" t="s">
        <v>945</v>
      </c>
      <c r="C21" s="1188"/>
      <c r="D21" s="1189"/>
      <c r="E21" s="1032" t="s">
        <v>579</v>
      </c>
      <c r="F21" s="434" t="s">
        <v>4</v>
      </c>
      <c r="G21" s="535">
        <f>G22+G23</f>
        <v>906.02499999999998</v>
      </c>
      <c r="H21" s="840" t="s">
        <v>84</v>
      </c>
      <c r="I21" s="840"/>
      <c r="J21" s="548">
        <f t="shared" ref="J21" si="3">J22+J23</f>
        <v>1030</v>
      </c>
      <c r="K21" s="545">
        <f t="shared" si="0"/>
        <v>-123.97500000000002</v>
      </c>
      <c r="L21" s="544"/>
    </row>
    <row r="22" spans="1:12" ht="16.2" customHeight="1">
      <c r="A22" s="1072"/>
      <c r="B22" s="1069"/>
      <c r="C22" s="514" t="s">
        <v>131</v>
      </c>
      <c r="D22" s="436" t="s">
        <v>1053</v>
      </c>
      <c r="E22" s="1032"/>
      <c r="F22" s="437" t="s">
        <v>10</v>
      </c>
      <c r="G22" s="535">
        <v>815.42250000000001</v>
      </c>
      <c r="H22" s="840"/>
      <c r="I22" s="840"/>
      <c r="J22" s="547">
        <v>927</v>
      </c>
      <c r="K22" s="545">
        <f t="shared" si="0"/>
        <v>-111.57749999999999</v>
      </c>
      <c r="L22" s="544"/>
    </row>
    <row r="23" spans="1:12" ht="16.2" customHeight="1">
      <c r="A23" s="1072"/>
      <c r="B23" s="1069"/>
      <c r="C23" s="514" t="s">
        <v>215</v>
      </c>
      <c r="D23" s="436" t="s">
        <v>1052</v>
      </c>
      <c r="E23" s="1032"/>
      <c r="F23" s="437" t="s">
        <v>978</v>
      </c>
      <c r="G23" s="535">
        <v>90.602500000000006</v>
      </c>
      <c r="H23" s="840"/>
      <c r="I23" s="840"/>
      <c r="J23" s="547">
        <v>103</v>
      </c>
      <c r="K23" s="545">
        <f t="shared" si="0"/>
        <v>-12.397499999999994</v>
      </c>
      <c r="L23" s="544"/>
    </row>
    <row r="24" spans="1:12" ht="16.2" customHeight="1">
      <c r="A24" s="1086" t="s">
        <v>205</v>
      </c>
      <c r="B24" s="1068" t="s">
        <v>976</v>
      </c>
      <c r="C24" s="1188"/>
      <c r="D24" s="1189"/>
      <c r="E24" s="1032" t="s">
        <v>579</v>
      </c>
      <c r="F24" s="434" t="s">
        <v>4</v>
      </c>
      <c r="G24" s="393">
        <f>SUM(G25:G26)</f>
        <v>1570.48153</v>
      </c>
      <c r="H24" s="1045" t="s">
        <v>84</v>
      </c>
      <c r="I24" s="1191"/>
      <c r="J24" s="548">
        <f>J25+J26</f>
        <v>1570.48153</v>
      </c>
      <c r="K24" s="545">
        <f t="shared" si="0"/>
        <v>0</v>
      </c>
      <c r="L24" s="544"/>
    </row>
    <row r="25" spans="1:12" ht="16.2" customHeight="1">
      <c r="A25" s="1072"/>
      <c r="B25" s="1069"/>
      <c r="C25" s="514" t="s">
        <v>131</v>
      </c>
      <c r="D25" s="436" t="s">
        <v>1076</v>
      </c>
      <c r="E25" s="1032"/>
      <c r="F25" s="437" t="s">
        <v>10</v>
      </c>
      <c r="G25" s="391"/>
      <c r="H25" s="1047"/>
      <c r="I25" s="1048"/>
      <c r="J25" s="544"/>
      <c r="K25" s="545">
        <f t="shared" si="0"/>
        <v>0</v>
      </c>
      <c r="L25" s="544"/>
    </row>
    <row r="26" spans="1:12" ht="16.2" customHeight="1">
      <c r="A26" s="1072"/>
      <c r="B26" s="1069"/>
      <c r="C26" s="514" t="s">
        <v>215</v>
      </c>
      <c r="D26" s="436" t="s">
        <v>1054</v>
      </c>
      <c r="E26" s="1032"/>
      <c r="F26" s="437" t="s">
        <v>978</v>
      </c>
      <c r="G26" s="391">
        <v>1570.48153</v>
      </c>
      <c r="H26" s="1047"/>
      <c r="I26" s="1048"/>
      <c r="J26" s="545">
        <v>1570.48153</v>
      </c>
      <c r="K26" s="545">
        <f t="shared" si="0"/>
        <v>0</v>
      </c>
      <c r="L26" s="544"/>
    </row>
    <row r="27" spans="1:12" ht="16.2" customHeight="1">
      <c r="A27" s="1086" t="s">
        <v>355</v>
      </c>
      <c r="B27" s="1068" t="s">
        <v>977</v>
      </c>
      <c r="C27" s="1188"/>
      <c r="D27" s="1189"/>
      <c r="E27" s="1032" t="s">
        <v>579</v>
      </c>
      <c r="F27" s="434" t="s">
        <v>4</v>
      </c>
      <c r="G27" s="393">
        <f>SUM(G28:G29)</f>
        <v>3489.8290000000002</v>
      </c>
      <c r="H27" s="1045" t="s">
        <v>84</v>
      </c>
      <c r="I27" s="1046"/>
      <c r="J27" s="546">
        <f t="shared" ref="J27" si="4">J28+J29</f>
        <v>3489.8290000000002</v>
      </c>
      <c r="K27" s="545">
        <f t="shared" si="0"/>
        <v>0</v>
      </c>
      <c r="L27" s="544"/>
    </row>
    <row r="28" spans="1:12" ht="16.2" customHeight="1">
      <c r="A28" s="1072"/>
      <c r="B28" s="1069"/>
      <c r="C28" s="514" t="s">
        <v>131</v>
      </c>
      <c r="D28" s="436" t="s">
        <v>1077</v>
      </c>
      <c r="E28" s="1032"/>
      <c r="F28" s="437" t="s">
        <v>10</v>
      </c>
      <c r="G28" s="391"/>
      <c r="H28" s="1047"/>
      <c r="I28" s="1048"/>
      <c r="J28" s="545"/>
      <c r="K28" s="545">
        <f t="shared" si="0"/>
        <v>0</v>
      </c>
      <c r="L28" s="544"/>
    </row>
    <row r="29" spans="1:12" ht="16.2" customHeight="1">
      <c r="A29" s="1072"/>
      <c r="B29" s="1069"/>
      <c r="C29" s="514" t="s">
        <v>215</v>
      </c>
      <c r="D29" s="436" t="s">
        <v>1055</v>
      </c>
      <c r="E29" s="1032"/>
      <c r="F29" s="437" t="s">
        <v>978</v>
      </c>
      <c r="G29" s="391">
        <v>3489.8290000000002</v>
      </c>
      <c r="H29" s="1047"/>
      <c r="I29" s="1048"/>
      <c r="J29" s="545">
        <v>3489.8290000000002</v>
      </c>
      <c r="K29" s="545">
        <f t="shared" si="0"/>
        <v>0</v>
      </c>
      <c r="L29" s="545"/>
    </row>
    <row r="30" spans="1:12" ht="16.2" customHeight="1">
      <c r="A30" s="1086" t="s">
        <v>357</v>
      </c>
      <c r="B30" s="1068" t="s">
        <v>1014</v>
      </c>
      <c r="C30" s="1188"/>
      <c r="D30" s="1189"/>
      <c r="E30" s="1032" t="s">
        <v>579</v>
      </c>
      <c r="F30" s="434" t="s">
        <v>4</v>
      </c>
      <c r="G30" s="393">
        <f>SUM(G31:G32)</f>
        <v>1775.7570000000001</v>
      </c>
      <c r="H30" s="1045" t="s">
        <v>84</v>
      </c>
      <c r="I30" s="1046"/>
      <c r="J30" s="546"/>
      <c r="K30" s="545"/>
      <c r="L30" s="544"/>
    </row>
    <row r="31" spans="1:12" ht="16.2" customHeight="1">
      <c r="A31" s="1072"/>
      <c r="B31" s="1069"/>
      <c r="C31" s="514" t="s">
        <v>131</v>
      </c>
      <c r="D31" s="436" t="s">
        <v>1078</v>
      </c>
      <c r="E31" s="1032"/>
      <c r="F31" s="437" t="s">
        <v>10</v>
      </c>
      <c r="G31" s="391">
        <f>976.84574+111.5775</f>
        <v>1088.4232400000001</v>
      </c>
      <c r="H31" s="1047"/>
      <c r="I31" s="1048"/>
      <c r="J31" s="545" t="s">
        <v>1015</v>
      </c>
      <c r="K31" s="545"/>
      <c r="L31" s="544"/>
    </row>
    <row r="32" spans="1:12" ht="16.2" customHeight="1">
      <c r="A32" s="1072"/>
      <c r="B32" s="1069"/>
      <c r="C32" s="449" t="s">
        <v>215</v>
      </c>
      <c r="D32" s="450" t="s">
        <v>1056</v>
      </c>
      <c r="E32" s="1190"/>
      <c r="F32" s="451" t="s">
        <v>978</v>
      </c>
      <c r="G32" s="452">
        <f>305.52583+300+12.3975+119.08281-49.67238</f>
        <v>687.3337600000001</v>
      </c>
      <c r="H32" s="1047"/>
      <c r="I32" s="1048"/>
      <c r="J32" s="545"/>
      <c r="K32" s="545"/>
      <c r="L32" s="545"/>
    </row>
    <row r="33" spans="1:12" ht="16.2" customHeight="1">
      <c r="A33" s="1086" t="s">
        <v>359</v>
      </c>
      <c r="B33" s="1068" t="s">
        <v>1020</v>
      </c>
      <c r="C33" s="1188"/>
      <c r="D33" s="1189"/>
      <c r="E33" s="1032" t="s">
        <v>579</v>
      </c>
      <c r="F33" s="434" t="s">
        <v>4</v>
      </c>
      <c r="G33" s="272">
        <f>G34+G35</f>
        <v>74.376999999999995</v>
      </c>
      <c r="H33" s="1045" t="s">
        <v>84</v>
      </c>
      <c r="I33" s="1046"/>
      <c r="J33" s="545"/>
      <c r="K33" s="545"/>
      <c r="L33" s="545"/>
    </row>
    <row r="34" spans="1:12" ht="16.2" customHeight="1">
      <c r="A34" s="1072"/>
      <c r="B34" s="1069"/>
      <c r="C34" s="514" t="s">
        <v>131</v>
      </c>
      <c r="D34" s="436" t="s">
        <v>1079</v>
      </c>
      <c r="E34" s="1032"/>
      <c r="F34" s="437" t="s">
        <v>10</v>
      </c>
      <c r="G34" s="275"/>
      <c r="H34" s="1047"/>
      <c r="I34" s="1048"/>
      <c r="J34" s="545"/>
      <c r="K34" s="545"/>
      <c r="L34" s="545"/>
    </row>
    <row r="35" spans="1:12" ht="16.2" customHeight="1">
      <c r="A35" s="1072"/>
      <c r="B35" s="1070"/>
      <c r="C35" s="449" t="s">
        <v>215</v>
      </c>
      <c r="D35" s="450" t="s">
        <v>1057</v>
      </c>
      <c r="E35" s="1190"/>
      <c r="F35" s="451" t="s">
        <v>978</v>
      </c>
      <c r="G35" s="275">
        <v>74.376999999999995</v>
      </c>
      <c r="H35" s="1049"/>
      <c r="I35" s="1050"/>
      <c r="J35" s="545"/>
      <c r="K35" s="545"/>
      <c r="L35" s="545"/>
    </row>
    <row r="36" spans="1:12" ht="18" customHeight="1">
      <c r="A36" s="1029" t="s">
        <v>498</v>
      </c>
      <c r="B36" s="1030" t="s">
        <v>499</v>
      </c>
      <c r="C36" s="1026"/>
      <c r="D36" s="1026"/>
      <c r="E36" s="1183" t="s">
        <v>9</v>
      </c>
      <c r="F36" s="266" t="s">
        <v>4</v>
      </c>
      <c r="G36" s="270">
        <f>SUM(G37:G38)</f>
        <v>7041.817</v>
      </c>
      <c r="H36" s="1039" t="s">
        <v>9</v>
      </c>
      <c r="I36" s="1039"/>
      <c r="J36" s="544"/>
      <c r="K36" s="544"/>
      <c r="L36" s="544"/>
    </row>
    <row r="37" spans="1:12" ht="18" customHeight="1">
      <c r="A37" s="1029"/>
      <c r="B37" s="1030"/>
      <c r="C37" s="515" t="s">
        <v>131</v>
      </c>
      <c r="D37" s="517" t="str">
        <f>D40</f>
        <v>262</v>
      </c>
      <c r="E37" s="1183"/>
      <c r="F37" s="266" t="s">
        <v>10</v>
      </c>
      <c r="G37" s="272">
        <f>G40</f>
        <v>6337.6352999999999</v>
      </c>
      <c r="H37" s="1039"/>
      <c r="I37" s="1039"/>
    </row>
    <row r="38" spans="1:12" ht="18" customHeight="1">
      <c r="A38" s="1029"/>
      <c r="B38" s="1030"/>
      <c r="C38" s="515" t="s">
        <v>215</v>
      </c>
      <c r="D38" s="517" t="str">
        <f>D41</f>
        <v>1863,9</v>
      </c>
      <c r="E38" s="1183"/>
      <c r="F38" s="266" t="s">
        <v>978</v>
      </c>
      <c r="G38" s="272">
        <f>G41</f>
        <v>704.18169999999998</v>
      </c>
      <c r="H38" s="1039"/>
      <c r="I38" s="1039"/>
      <c r="J38" s="545">
        <f>7951.67494-G14-G17-G20-G23-G26</f>
        <v>4586.3110299999998</v>
      </c>
      <c r="K38" s="544"/>
    </row>
    <row r="39" spans="1:12" ht="18" customHeight="1">
      <c r="A39" s="1011" t="s">
        <v>108</v>
      </c>
      <c r="B39" s="1012" t="s">
        <v>946</v>
      </c>
      <c r="C39" s="1013"/>
      <c r="D39" s="1013"/>
      <c r="E39" s="839" t="s">
        <v>579</v>
      </c>
      <c r="F39" s="266" t="s">
        <v>4</v>
      </c>
      <c r="G39" s="393">
        <f>SUM(G40:G41)</f>
        <v>7041.817</v>
      </c>
      <c r="H39" s="840" t="s">
        <v>84</v>
      </c>
      <c r="I39" s="840"/>
      <c r="J39" s="544"/>
      <c r="K39" s="544"/>
    </row>
    <row r="40" spans="1:12" ht="18" customHeight="1">
      <c r="A40" s="1011"/>
      <c r="B40" s="1012"/>
      <c r="C40" s="513" t="s">
        <v>131</v>
      </c>
      <c r="D40" s="273" t="s">
        <v>975</v>
      </c>
      <c r="E40" s="839"/>
      <c r="F40" s="274" t="s">
        <v>10</v>
      </c>
      <c r="G40" s="391">
        <v>6337.6352999999999</v>
      </c>
      <c r="H40" s="840"/>
      <c r="I40" s="840"/>
      <c r="J40" s="544"/>
      <c r="K40" s="544"/>
    </row>
    <row r="41" spans="1:12" ht="18" customHeight="1">
      <c r="A41" s="1011"/>
      <c r="B41" s="1012"/>
      <c r="C41" s="513" t="s">
        <v>215</v>
      </c>
      <c r="D41" s="273" t="s">
        <v>1058</v>
      </c>
      <c r="E41" s="839"/>
      <c r="F41" s="437" t="s">
        <v>978</v>
      </c>
      <c r="G41" s="391">
        <v>704.18169999999998</v>
      </c>
      <c r="H41" s="840"/>
      <c r="I41" s="840"/>
      <c r="J41" s="544"/>
      <c r="K41" s="544"/>
    </row>
    <row r="42" spans="1:12" ht="15.75" customHeight="1">
      <c r="A42" s="1055">
        <v>2</v>
      </c>
      <c r="B42" s="1187" t="s">
        <v>670</v>
      </c>
      <c r="C42" s="1061" t="s">
        <v>9</v>
      </c>
      <c r="D42" s="1064" t="s">
        <v>9</v>
      </c>
      <c r="E42" s="1185" t="s">
        <v>9</v>
      </c>
      <c r="F42" s="266" t="s">
        <v>4</v>
      </c>
      <c r="G42" s="270">
        <f>SUM(G43:G44)</f>
        <v>19898.563470000001</v>
      </c>
      <c r="H42" s="1039" t="s">
        <v>9</v>
      </c>
      <c r="I42" s="1039"/>
      <c r="J42" s="544"/>
      <c r="K42" s="544"/>
    </row>
    <row r="43" spans="1:12" ht="15.75" customHeight="1">
      <c r="A43" s="1056"/>
      <c r="B43" s="1187"/>
      <c r="C43" s="1062"/>
      <c r="D43" s="1065"/>
      <c r="E43" s="1186"/>
      <c r="F43" s="266" t="s">
        <v>10</v>
      </c>
      <c r="G43" s="270">
        <f>G46+G52+G82+G109</f>
        <v>0</v>
      </c>
      <c r="H43" s="1039"/>
      <c r="I43" s="1039"/>
      <c r="J43" s="544"/>
      <c r="K43" s="544"/>
    </row>
    <row r="44" spans="1:12" ht="15.75" customHeight="1">
      <c r="A44" s="1056"/>
      <c r="B44" s="1187"/>
      <c r="C44" s="1062"/>
      <c r="D44" s="1065"/>
      <c r="E44" s="1186"/>
      <c r="F44" s="266" t="s">
        <v>978</v>
      </c>
      <c r="G44" s="270">
        <f>G47+G53+G83+G110</f>
        <v>19898.563470000001</v>
      </c>
      <c r="H44" s="1039"/>
      <c r="I44" s="1039"/>
      <c r="J44" s="544">
        <v>7847.3347000000003</v>
      </c>
      <c r="K44" s="544"/>
    </row>
    <row r="45" spans="1:12" ht="16.95" customHeight="1">
      <c r="A45" s="1055" t="s">
        <v>366</v>
      </c>
      <c r="B45" s="1155" t="s">
        <v>672</v>
      </c>
      <c r="C45" s="1061" t="s">
        <v>9</v>
      </c>
      <c r="D45" s="1064" t="s">
        <v>9</v>
      </c>
      <c r="E45" s="1185" t="s">
        <v>9</v>
      </c>
      <c r="F45" s="266" t="s">
        <v>4</v>
      </c>
      <c r="G45" s="270">
        <f>G46+G47</f>
        <v>11998.666670000001</v>
      </c>
      <c r="H45" s="840" t="s">
        <v>87</v>
      </c>
      <c r="I45" s="840"/>
      <c r="J45" s="544"/>
      <c r="K45" s="544"/>
    </row>
    <row r="46" spans="1:12" ht="16.95" customHeight="1">
      <c r="A46" s="1056"/>
      <c r="B46" s="1156"/>
      <c r="C46" s="1062"/>
      <c r="D46" s="1065"/>
      <c r="E46" s="1186"/>
      <c r="F46" s="266" t="s">
        <v>10</v>
      </c>
      <c r="G46" s="270">
        <f>G49</f>
        <v>0</v>
      </c>
      <c r="H46" s="840"/>
      <c r="I46" s="840"/>
      <c r="J46" s="544"/>
      <c r="K46" s="544"/>
    </row>
    <row r="47" spans="1:12" ht="16.95" customHeight="1">
      <c r="A47" s="1056"/>
      <c r="B47" s="1156"/>
      <c r="C47" s="1062"/>
      <c r="D47" s="1065"/>
      <c r="E47" s="1186"/>
      <c r="F47" s="266" t="s">
        <v>978</v>
      </c>
      <c r="G47" s="270">
        <v>11998.666670000001</v>
      </c>
      <c r="H47" s="840"/>
      <c r="I47" s="840"/>
      <c r="J47" s="544"/>
      <c r="K47" s="544"/>
    </row>
    <row r="48" spans="1:12" ht="15" hidden="1" customHeight="1">
      <c r="A48" s="1024" t="s">
        <v>169</v>
      </c>
      <c r="B48" s="1059"/>
      <c r="C48" s="1026" t="s">
        <v>43</v>
      </c>
      <c r="D48" s="1026"/>
      <c r="E48" s="1183" t="s">
        <v>579</v>
      </c>
      <c r="F48" s="266" t="s">
        <v>4</v>
      </c>
      <c r="G48" s="270">
        <f>G49+G50</f>
        <v>0</v>
      </c>
      <c r="H48" s="1039"/>
      <c r="I48" s="1039"/>
      <c r="J48" s="544"/>
      <c r="K48" s="544"/>
    </row>
    <row r="49" spans="1:11" ht="15" hidden="1" customHeight="1">
      <c r="A49" s="1024"/>
      <c r="B49" s="1059"/>
      <c r="C49" s="1026"/>
      <c r="D49" s="1026"/>
      <c r="E49" s="1183"/>
      <c r="F49" s="266" t="s">
        <v>10</v>
      </c>
      <c r="G49" s="272"/>
      <c r="H49" s="1039"/>
      <c r="I49" s="1039"/>
      <c r="J49" s="544"/>
      <c r="K49" s="544"/>
    </row>
    <row r="50" spans="1:11" ht="15" hidden="1" customHeight="1">
      <c r="A50" s="1024"/>
      <c r="B50" s="1060"/>
      <c r="C50" s="1026"/>
      <c r="D50" s="1026"/>
      <c r="E50" s="1183"/>
      <c r="F50" s="266" t="s">
        <v>11</v>
      </c>
      <c r="G50" s="270"/>
      <c r="H50" s="1039"/>
      <c r="I50" s="1039"/>
      <c r="J50" s="544"/>
      <c r="K50" s="544"/>
    </row>
    <row r="51" spans="1:11" ht="19.95" customHeight="1">
      <c r="A51" s="1034" t="s">
        <v>544</v>
      </c>
      <c r="B51" s="1181" t="s">
        <v>952</v>
      </c>
      <c r="C51" s="1061" t="s">
        <v>73</v>
      </c>
      <c r="D51" s="1145">
        <f>D54+D57+D60+D63+D66+D69+D72+D75</f>
        <v>2.9290000000000003</v>
      </c>
      <c r="E51" s="1183" t="s">
        <v>9</v>
      </c>
      <c r="F51" s="266" t="s">
        <v>4</v>
      </c>
      <c r="G51" s="270">
        <f>SUM(G52:G53)</f>
        <v>2481.3064000000004</v>
      </c>
      <c r="H51" s="1039" t="s">
        <v>84</v>
      </c>
      <c r="I51" s="1039"/>
      <c r="J51" s="544"/>
      <c r="K51" s="544"/>
    </row>
    <row r="52" spans="1:11" ht="19.95" customHeight="1">
      <c r="A52" s="1034"/>
      <c r="B52" s="1181"/>
      <c r="C52" s="1062"/>
      <c r="D52" s="1146"/>
      <c r="E52" s="1183"/>
      <c r="F52" s="266" t="s">
        <v>10</v>
      </c>
      <c r="G52" s="270">
        <f>G55+G58+G61+G64+G67+G70+G73+G76+G79</f>
        <v>0</v>
      </c>
      <c r="H52" s="1039"/>
      <c r="I52" s="1039"/>
      <c r="J52" s="544"/>
      <c r="K52" s="544"/>
    </row>
    <row r="53" spans="1:11" ht="19.95" customHeight="1">
      <c r="A53" s="1034"/>
      <c r="B53" s="1181"/>
      <c r="C53" s="1062"/>
      <c r="D53" s="1146"/>
      <c r="E53" s="1183"/>
      <c r="F53" s="266" t="s">
        <v>978</v>
      </c>
      <c r="G53" s="270">
        <f>G56+G59+G62+G65+G68+G71+G74+G77+G80</f>
        <v>2481.3064000000004</v>
      </c>
      <c r="H53" s="1039"/>
      <c r="I53" s="1039"/>
      <c r="J53" s="545">
        <f>G53-2482.697</f>
        <v>-1.3905999999997221</v>
      </c>
      <c r="K53" s="544" t="s">
        <v>1038</v>
      </c>
    </row>
    <row r="54" spans="1:11" ht="15" customHeight="1">
      <c r="A54" s="1011" t="s">
        <v>958</v>
      </c>
      <c r="B54" s="1138" t="s">
        <v>959</v>
      </c>
      <c r="C54" s="839" t="s">
        <v>73</v>
      </c>
      <c r="D54" s="839">
        <v>0.15</v>
      </c>
      <c r="E54" s="839" t="s">
        <v>579</v>
      </c>
      <c r="F54" s="266" t="s">
        <v>4</v>
      </c>
      <c r="G54" s="393">
        <v>248.756</v>
      </c>
      <c r="H54" s="840" t="s">
        <v>84</v>
      </c>
      <c r="I54" s="840"/>
      <c r="J54" s="544"/>
      <c r="K54" s="544"/>
    </row>
    <row r="55" spans="1:11" ht="15" customHeight="1">
      <c r="A55" s="1011"/>
      <c r="B55" s="1184"/>
      <c r="C55" s="839"/>
      <c r="D55" s="839"/>
      <c r="E55" s="839"/>
      <c r="F55" s="274" t="s">
        <v>10</v>
      </c>
      <c r="G55" s="391">
        <v>0</v>
      </c>
      <c r="H55" s="840"/>
      <c r="I55" s="840"/>
      <c r="J55" s="544"/>
      <c r="K55" s="544"/>
    </row>
    <row r="56" spans="1:11" ht="15" customHeight="1">
      <c r="A56" s="1011"/>
      <c r="B56" s="1184"/>
      <c r="C56" s="839"/>
      <c r="D56" s="839"/>
      <c r="E56" s="839"/>
      <c r="F56" s="274" t="s">
        <v>978</v>
      </c>
      <c r="G56" s="391">
        <v>248.756</v>
      </c>
      <c r="H56" s="840"/>
      <c r="I56" s="840"/>
      <c r="J56" s="544"/>
      <c r="K56" s="544"/>
    </row>
    <row r="57" spans="1:11" ht="15" customHeight="1">
      <c r="A57" s="1011" t="s">
        <v>960</v>
      </c>
      <c r="B57" s="1138" t="s">
        <v>992</v>
      </c>
      <c r="C57" s="839" t="s">
        <v>73</v>
      </c>
      <c r="D57" s="839">
        <v>0.55000000000000004</v>
      </c>
      <c r="E57" s="839" t="s">
        <v>579</v>
      </c>
      <c r="F57" s="266" t="s">
        <v>4</v>
      </c>
      <c r="G57" s="393">
        <f t="shared" ref="G57" si="5">SUM(G58:G59)</f>
        <v>682.55039999999997</v>
      </c>
      <c r="H57" s="840" t="s">
        <v>84</v>
      </c>
      <c r="I57" s="840"/>
      <c r="J57" s="544"/>
      <c r="K57" s="544"/>
    </row>
    <row r="58" spans="1:11" ht="15" customHeight="1">
      <c r="A58" s="1011"/>
      <c r="B58" s="1184"/>
      <c r="C58" s="839"/>
      <c r="D58" s="839"/>
      <c r="E58" s="839"/>
      <c r="F58" s="274" t="s">
        <v>10</v>
      </c>
      <c r="G58" s="391">
        <v>0</v>
      </c>
      <c r="H58" s="840"/>
      <c r="I58" s="840"/>
      <c r="J58" s="544"/>
      <c r="K58" s="544"/>
    </row>
    <row r="59" spans="1:11" ht="15" customHeight="1">
      <c r="A59" s="1011"/>
      <c r="B59" s="1184"/>
      <c r="C59" s="839"/>
      <c r="D59" s="839"/>
      <c r="E59" s="839"/>
      <c r="F59" s="274" t="s">
        <v>978</v>
      </c>
      <c r="G59" s="391">
        <v>682.55039999999997</v>
      </c>
      <c r="H59" s="840"/>
      <c r="I59" s="840"/>
      <c r="J59" s="544"/>
      <c r="K59" s="544"/>
    </row>
    <row r="60" spans="1:11" ht="15" customHeight="1">
      <c r="A60" s="1011" t="s">
        <v>993</v>
      </c>
      <c r="B60" s="1138" t="s">
        <v>1027</v>
      </c>
      <c r="C60" s="839" t="s">
        <v>73</v>
      </c>
      <c r="D60" s="839">
        <v>9.5000000000000001E-2</v>
      </c>
      <c r="E60" s="839" t="s">
        <v>579</v>
      </c>
      <c r="F60" s="266" t="s">
        <v>4</v>
      </c>
      <c r="G60" s="393">
        <f t="shared" ref="G60" si="6">SUM(G61:G62)</f>
        <v>149.315</v>
      </c>
      <c r="H60" s="840" t="s">
        <v>84</v>
      </c>
      <c r="I60" s="840"/>
      <c r="J60" s="544"/>
      <c r="K60" s="544"/>
    </row>
    <row r="61" spans="1:11" ht="15" customHeight="1">
      <c r="A61" s="1011"/>
      <c r="B61" s="1184"/>
      <c r="C61" s="839"/>
      <c r="D61" s="839"/>
      <c r="E61" s="839"/>
      <c r="F61" s="274" t="s">
        <v>10</v>
      </c>
      <c r="G61" s="391">
        <v>0</v>
      </c>
      <c r="H61" s="840"/>
      <c r="I61" s="840"/>
      <c r="J61" s="544"/>
      <c r="K61" s="544"/>
    </row>
    <row r="62" spans="1:11" ht="15" customHeight="1">
      <c r="A62" s="1011"/>
      <c r="B62" s="1184"/>
      <c r="C62" s="839"/>
      <c r="D62" s="839"/>
      <c r="E62" s="839"/>
      <c r="F62" s="274" t="s">
        <v>978</v>
      </c>
      <c r="G62" s="391">
        <v>149.315</v>
      </c>
      <c r="H62" s="840"/>
      <c r="I62" s="840"/>
      <c r="J62" s="544"/>
      <c r="K62" s="544"/>
    </row>
    <row r="63" spans="1:11" ht="15" customHeight="1">
      <c r="A63" s="1011" t="s">
        <v>994</v>
      </c>
      <c r="B63" s="1138" t="s">
        <v>991</v>
      </c>
      <c r="C63" s="839" t="s">
        <v>73</v>
      </c>
      <c r="D63" s="839">
        <v>0.33700000000000002</v>
      </c>
      <c r="E63" s="839" t="s">
        <v>579</v>
      </c>
      <c r="F63" s="266" t="s">
        <v>4</v>
      </c>
      <c r="G63" s="393">
        <f>SUM(G64:G65)</f>
        <v>476.83697000000001</v>
      </c>
      <c r="H63" s="840" t="s">
        <v>84</v>
      </c>
      <c r="I63" s="840"/>
      <c r="J63" s="544"/>
      <c r="K63" s="544"/>
    </row>
    <row r="64" spans="1:11" ht="15" customHeight="1">
      <c r="A64" s="1011"/>
      <c r="B64" s="1184"/>
      <c r="C64" s="839"/>
      <c r="D64" s="839"/>
      <c r="E64" s="839"/>
      <c r="F64" s="274" t="s">
        <v>10</v>
      </c>
      <c r="G64" s="391">
        <v>0</v>
      </c>
      <c r="H64" s="840"/>
      <c r="I64" s="840"/>
      <c r="J64" s="544"/>
      <c r="K64" s="544"/>
    </row>
    <row r="65" spans="1:11" ht="15" customHeight="1">
      <c r="A65" s="1011"/>
      <c r="B65" s="1184"/>
      <c r="C65" s="839"/>
      <c r="D65" s="839"/>
      <c r="E65" s="839"/>
      <c r="F65" s="274" t="s">
        <v>978</v>
      </c>
      <c r="G65" s="391">
        <v>476.83697000000001</v>
      </c>
      <c r="H65" s="840"/>
      <c r="I65" s="840"/>
      <c r="J65" s="544"/>
      <c r="K65" s="544"/>
    </row>
    <row r="66" spans="1:11" ht="13.95" customHeight="1">
      <c r="A66" s="1011" t="s">
        <v>995</v>
      </c>
      <c r="B66" s="1138" t="s">
        <v>1028</v>
      </c>
      <c r="C66" s="839" t="s">
        <v>73</v>
      </c>
      <c r="D66" s="839">
        <v>0.51900000000000002</v>
      </c>
      <c r="E66" s="839">
        <v>2021</v>
      </c>
      <c r="F66" s="266" t="s">
        <v>4</v>
      </c>
      <c r="G66" s="393">
        <f>SUM(G67:G68)</f>
        <v>299.97699999999998</v>
      </c>
      <c r="H66" s="840" t="s">
        <v>84</v>
      </c>
      <c r="I66" s="840"/>
      <c r="J66" s="544"/>
      <c r="K66" s="544"/>
    </row>
    <row r="67" spans="1:11" ht="13.95" customHeight="1">
      <c r="A67" s="1011"/>
      <c r="B67" s="1184"/>
      <c r="C67" s="839"/>
      <c r="D67" s="839"/>
      <c r="E67" s="839"/>
      <c r="F67" s="274" t="s">
        <v>10</v>
      </c>
      <c r="G67" s="391">
        <v>0</v>
      </c>
      <c r="H67" s="840"/>
      <c r="I67" s="840"/>
      <c r="J67" s="544"/>
      <c r="K67" s="544"/>
    </row>
    <row r="68" spans="1:11" ht="13.95" customHeight="1">
      <c r="A68" s="1011"/>
      <c r="B68" s="1184"/>
      <c r="C68" s="839"/>
      <c r="D68" s="839"/>
      <c r="E68" s="839"/>
      <c r="F68" s="274" t="s">
        <v>978</v>
      </c>
      <c r="G68" s="391">
        <v>299.97699999999998</v>
      </c>
      <c r="H68" s="840"/>
      <c r="I68" s="840"/>
      <c r="J68" s="544"/>
      <c r="K68" s="544"/>
    </row>
    <row r="69" spans="1:11" ht="15" customHeight="1">
      <c r="A69" s="1011" t="s">
        <v>1030</v>
      </c>
      <c r="B69" s="1138" t="s">
        <v>1029</v>
      </c>
      <c r="C69" s="839" t="s">
        <v>73</v>
      </c>
      <c r="D69" s="839">
        <v>0.12</v>
      </c>
      <c r="E69" s="839">
        <v>2021</v>
      </c>
      <c r="F69" s="266" t="s">
        <v>4</v>
      </c>
      <c r="G69" s="390">
        <f>G70+G71</f>
        <v>116.82</v>
      </c>
      <c r="H69" s="840" t="s">
        <v>84</v>
      </c>
      <c r="I69" s="840"/>
      <c r="J69" s="544"/>
      <c r="K69" s="544"/>
    </row>
    <row r="70" spans="1:11" ht="15" customHeight="1">
      <c r="A70" s="1011"/>
      <c r="B70" s="1184"/>
      <c r="C70" s="839"/>
      <c r="D70" s="839"/>
      <c r="E70" s="839"/>
      <c r="F70" s="274" t="s">
        <v>10</v>
      </c>
      <c r="G70" s="391">
        <v>0</v>
      </c>
      <c r="H70" s="840"/>
      <c r="I70" s="840"/>
      <c r="J70" s="544"/>
      <c r="K70" s="544"/>
    </row>
    <row r="71" spans="1:11" ht="15" customHeight="1">
      <c r="A71" s="1011"/>
      <c r="B71" s="1184"/>
      <c r="C71" s="839"/>
      <c r="D71" s="839"/>
      <c r="E71" s="839"/>
      <c r="F71" s="274" t="s">
        <v>11</v>
      </c>
      <c r="G71" s="392">
        <v>116.82</v>
      </c>
      <c r="H71" s="840"/>
      <c r="I71" s="840"/>
      <c r="J71" s="544"/>
      <c r="K71" s="544"/>
    </row>
    <row r="72" spans="1:11" ht="15" customHeight="1">
      <c r="A72" s="1011" t="s">
        <v>1031</v>
      </c>
      <c r="B72" s="1138" t="s">
        <v>1032</v>
      </c>
      <c r="C72" s="839" t="s">
        <v>73</v>
      </c>
      <c r="D72" s="839">
        <v>1.073</v>
      </c>
      <c r="E72" s="839">
        <v>2021</v>
      </c>
      <c r="F72" s="266" t="s">
        <v>4</v>
      </c>
      <c r="G72" s="390">
        <f>G73+G74</f>
        <v>414.82404000000002</v>
      </c>
      <c r="H72" s="840" t="s">
        <v>84</v>
      </c>
      <c r="I72" s="840"/>
      <c r="J72" s="544"/>
      <c r="K72" s="544"/>
    </row>
    <row r="73" spans="1:11" ht="15" customHeight="1">
      <c r="A73" s="1011"/>
      <c r="B73" s="1184"/>
      <c r="C73" s="839"/>
      <c r="D73" s="839"/>
      <c r="E73" s="839"/>
      <c r="F73" s="274" t="s">
        <v>10</v>
      </c>
      <c r="G73" s="391">
        <v>0</v>
      </c>
      <c r="H73" s="840"/>
      <c r="I73" s="840"/>
      <c r="J73" s="544"/>
      <c r="K73" s="544"/>
    </row>
    <row r="74" spans="1:11" ht="15" customHeight="1">
      <c r="A74" s="1011"/>
      <c r="B74" s="1184"/>
      <c r="C74" s="839"/>
      <c r="D74" s="839"/>
      <c r="E74" s="839"/>
      <c r="F74" s="274" t="s">
        <v>11</v>
      </c>
      <c r="G74" s="392">
        <v>414.82404000000002</v>
      </c>
      <c r="H74" s="840"/>
      <c r="I74" s="840"/>
      <c r="J74" s="544"/>
      <c r="K74" s="544"/>
    </row>
    <row r="75" spans="1:11" ht="15" customHeight="1">
      <c r="A75" s="1011" t="s">
        <v>1035</v>
      </c>
      <c r="B75" s="1138" t="s">
        <v>1036</v>
      </c>
      <c r="C75" s="839" t="s">
        <v>73</v>
      </c>
      <c r="D75" s="839">
        <v>8.5000000000000006E-2</v>
      </c>
      <c r="E75" s="839">
        <v>2021</v>
      </c>
      <c r="F75" s="266" t="s">
        <v>4</v>
      </c>
      <c r="G75" s="390">
        <f>G76+G77</f>
        <v>92.226990000000001</v>
      </c>
      <c r="H75" s="840" t="s">
        <v>84</v>
      </c>
      <c r="I75" s="840"/>
      <c r="J75" s="544"/>
      <c r="K75" s="544"/>
    </row>
    <row r="76" spans="1:11" ht="15" customHeight="1">
      <c r="A76" s="1011"/>
      <c r="B76" s="1184"/>
      <c r="C76" s="839"/>
      <c r="D76" s="839"/>
      <c r="E76" s="839"/>
      <c r="F76" s="274" t="s">
        <v>10</v>
      </c>
      <c r="G76" s="391">
        <v>0</v>
      </c>
      <c r="H76" s="840"/>
      <c r="I76" s="840"/>
      <c r="J76" s="544"/>
      <c r="K76" s="544"/>
    </row>
    <row r="77" spans="1:11" ht="15" customHeight="1">
      <c r="A77" s="1011"/>
      <c r="B77" s="1184"/>
      <c r="C77" s="839"/>
      <c r="D77" s="839"/>
      <c r="E77" s="839"/>
      <c r="F77" s="274" t="s">
        <v>11</v>
      </c>
      <c r="G77" s="392">
        <f>93.61759-1.3906</f>
        <v>92.226990000000001</v>
      </c>
      <c r="H77" s="840"/>
      <c r="I77" s="840"/>
      <c r="J77" s="544"/>
      <c r="K77" s="544"/>
    </row>
    <row r="78" spans="1:11" ht="15" hidden="1" customHeight="1">
      <c r="A78" s="1011" t="s">
        <v>1037</v>
      </c>
      <c r="B78" s="1184"/>
      <c r="C78" s="1043"/>
      <c r="D78" s="839"/>
      <c r="E78" s="839"/>
      <c r="F78" s="266" t="s">
        <v>4</v>
      </c>
      <c r="G78" s="393">
        <f>SUM(G79:G80)</f>
        <v>0</v>
      </c>
      <c r="H78" s="840" t="s">
        <v>84</v>
      </c>
      <c r="I78" s="840"/>
      <c r="J78" s="544"/>
      <c r="K78" s="544"/>
    </row>
    <row r="79" spans="1:11" ht="15" hidden="1" customHeight="1">
      <c r="A79" s="1011"/>
      <c r="B79" s="1184"/>
      <c r="C79" s="1043"/>
      <c r="D79" s="839"/>
      <c r="E79" s="839"/>
      <c r="F79" s="274" t="s">
        <v>10</v>
      </c>
      <c r="G79" s="391">
        <v>0</v>
      </c>
      <c r="H79" s="840"/>
      <c r="I79" s="840"/>
      <c r="J79" s="544"/>
      <c r="K79" s="544"/>
    </row>
    <row r="80" spans="1:11" ht="15" hidden="1" customHeight="1">
      <c r="A80" s="1011"/>
      <c r="B80" s="1184"/>
      <c r="C80" s="1044"/>
      <c r="D80" s="1042"/>
      <c r="E80" s="839"/>
      <c r="F80" s="274" t="s">
        <v>11</v>
      </c>
      <c r="G80" s="391">
        <v>0</v>
      </c>
      <c r="H80" s="840"/>
      <c r="I80" s="840"/>
      <c r="J80" s="544"/>
      <c r="K80" s="544"/>
    </row>
    <row r="81" spans="1:11" ht="18" customHeight="1">
      <c r="A81" s="1034" t="s">
        <v>549</v>
      </c>
      <c r="B81" s="1181" t="s">
        <v>953</v>
      </c>
      <c r="C81" s="1026" t="s">
        <v>9</v>
      </c>
      <c r="D81" s="1071" t="s">
        <v>9</v>
      </c>
      <c r="E81" s="839" t="s">
        <v>9</v>
      </c>
      <c r="F81" s="266" t="s">
        <v>4</v>
      </c>
      <c r="G81" s="270">
        <f>SUM(G82:G83)</f>
        <v>4418.5904</v>
      </c>
      <c r="H81" s="839" t="s">
        <v>9</v>
      </c>
      <c r="I81" s="839"/>
      <c r="J81" s="544"/>
      <c r="K81" s="544"/>
    </row>
    <row r="82" spans="1:11" ht="18" customHeight="1">
      <c r="A82" s="1034"/>
      <c r="B82" s="1181"/>
      <c r="C82" s="1026"/>
      <c r="D82" s="1071"/>
      <c r="E82" s="839"/>
      <c r="F82" s="266" t="s">
        <v>10</v>
      </c>
      <c r="G82" s="270">
        <f>G97+G100+G103</f>
        <v>0</v>
      </c>
      <c r="H82" s="839"/>
      <c r="I82" s="839"/>
      <c r="J82" s="544"/>
      <c r="K82" s="544"/>
    </row>
    <row r="83" spans="1:11" ht="18" customHeight="1">
      <c r="A83" s="1034"/>
      <c r="B83" s="1181"/>
      <c r="C83" s="1026"/>
      <c r="D83" s="1071"/>
      <c r="E83" s="839"/>
      <c r="F83" s="266" t="s">
        <v>978</v>
      </c>
      <c r="G83" s="270">
        <f>G98+G101+G104+G107</f>
        <v>4418.5904</v>
      </c>
      <c r="H83" s="839"/>
      <c r="I83" s="839"/>
      <c r="J83" s="544"/>
      <c r="K83" s="544"/>
    </row>
    <row r="84" spans="1:11" ht="16.2" hidden="1" customHeight="1">
      <c r="A84" s="1011"/>
      <c r="B84" s="1099"/>
      <c r="C84" s="1013" t="s">
        <v>66</v>
      </c>
      <c r="D84" s="1053">
        <v>1</v>
      </c>
      <c r="E84" s="839"/>
      <c r="F84" s="266" t="s">
        <v>4</v>
      </c>
      <c r="G84" s="393"/>
      <c r="H84" s="1045" t="s">
        <v>85</v>
      </c>
      <c r="I84" s="1046"/>
      <c r="J84" s="544"/>
      <c r="K84" s="544"/>
    </row>
    <row r="85" spans="1:11" ht="16.2" hidden="1" customHeight="1">
      <c r="A85" s="1011"/>
      <c r="B85" s="1012"/>
      <c r="C85" s="1013"/>
      <c r="D85" s="1053"/>
      <c r="E85" s="839"/>
      <c r="F85" s="274" t="s">
        <v>10</v>
      </c>
      <c r="G85" s="391"/>
      <c r="H85" s="1047"/>
      <c r="I85" s="1048"/>
      <c r="J85" s="544"/>
      <c r="K85" s="544"/>
    </row>
    <row r="86" spans="1:11" ht="16.2" hidden="1" customHeight="1">
      <c r="A86" s="1011"/>
      <c r="B86" s="1012"/>
      <c r="C86" s="1013"/>
      <c r="D86" s="1053"/>
      <c r="E86" s="839"/>
      <c r="F86" s="274" t="s">
        <v>11</v>
      </c>
      <c r="G86" s="392"/>
      <c r="H86" s="1049"/>
      <c r="I86" s="1050"/>
      <c r="J86" s="544"/>
      <c r="K86" s="544"/>
    </row>
    <row r="87" spans="1:11" ht="16.2" hidden="1" customHeight="1">
      <c r="A87" s="1011"/>
      <c r="B87" s="1012"/>
      <c r="C87" s="1013" t="s">
        <v>43</v>
      </c>
      <c r="D87" s="1013">
        <v>5</v>
      </c>
      <c r="E87" s="839"/>
      <c r="F87" s="266" t="s">
        <v>4</v>
      </c>
      <c r="G87" s="390"/>
      <c r="H87" s="1045" t="s">
        <v>85</v>
      </c>
      <c r="I87" s="1046"/>
      <c r="J87" s="544"/>
      <c r="K87" s="544"/>
    </row>
    <row r="88" spans="1:11" ht="16.2" hidden="1" customHeight="1">
      <c r="A88" s="1011"/>
      <c r="B88" s="1012"/>
      <c r="C88" s="1013"/>
      <c r="D88" s="1013"/>
      <c r="E88" s="839"/>
      <c r="F88" s="274" t="s">
        <v>10</v>
      </c>
      <c r="G88" s="391"/>
      <c r="H88" s="1047"/>
      <c r="I88" s="1048"/>
      <c r="J88" s="544"/>
      <c r="K88" s="544"/>
    </row>
    <row r="89" spans="1:11" ht="16.2" hidden="1" customHeight="1">
      <c r="A89" s="1011"/>
      <c r="B89" s="1012"/>
      <c r="C89" s="1013"/>
      <c r="D89" s="1013"/>
      <c r="E89" s="839"/>
      <c r="F89" s="274" t="s">
        <v>11</v>
      </c>
      <c r="G89" s="392"/>
      <c r="H89" s="1049"/>
      <c r="I89" s="1050"/>
      <c r="J89" s="544"/>
      <c r="K89" s="544"/>
    </row>
    <row r="90" spans="1:11" ht="16.2" hidden="1" customHeight="1">
      <c r="A90" s="1011"/>
      <c r="B90" s="1012"/>
      <c r="C90" s="840" t="s">
        <v>43</v>
      </c>
      <c r="D90" s="840">
        <v>1</v>
      </c>
      <c r="E90" s="839"/>
      <c r="F90" s="266" t="s">
        <v>4</v>
      </c>
      <c r="G90" s="390"/>
      <c r="H90" s="1045" t="s">
        <v>85</v>
      </c>
      <c r="I90" s="1046"/>
      <c r="J90" s="544"/>
      <c r="K90" s="544"/>
    </row>
    <row r="91" spans="1:11" ht="16.2" hidden="1" customHeight="1">
      <c r="A91" s="1011"/>
      <c r="B91" s="1012"/>
      <c r="C91" s="840"/>
      <c r="D91" s="840"/>
      <c r="E91" s="839"/>
      <c r="F91" s="274" t="s">
        <v>10</v>
      </c>
      <c r="G91" s="391"/>
      <c r="H91" s="1047"/>
      <c r="I91" s="1048"/>
      <c r="J91" s="544"/>
      <c r="K91" s="544"/>
    </row>
    <row r="92" spans="1:11" ht="16.2" hidden="1" customHeight="1">
      <c r="A92" s="1011"/>
      <c r="B92" s="1012"/>
      <c r="C92" s="840"/>
      <c r="D92" s="840"/>
      <c r="E92" s="839"/>
      <c r="F92" s="274" t="s">
        <v>11</v>
      </c>
      <c r="G92" s="392"/>
      <c r="H92" s="1049"/>
      <c r="I92" s="1050"/>
      <c r="J92" s="544"/>
      <c r="K92" s="544"/>
    </row>
    <row r="93" spans="1:11" ht="16.2" hidden="1" customHeight="1">
      <c r="A93" s="1011"/>
      <c r="B93" s="1097"/>
      <c r="C93" s="840" t="s">
        <v>43</v>
      </c>
      <c r="D93" s="840">
        <v>3</v>
      </c>
      <c r="E93" s="839"/>
      <c r="F93" s="266" t="s">
        <v>4</v>
      </c>
      <c r="G93" s="390">
        <f>G94+G95</f>
        <v>0</v>
      </c>
      <c r="H93" s="840" t="s">
        <v>84</v>
      </c>
      <c r="I93" s="840"/>
      <c r="J93" s="544"/>
      <c r="K93" s="544"/>
    </row>
    <row r="94" spans="1:11" ht="16.2" hidden="1" customHeight="1">
      <c r="A94" s="1011"/>
      <c r="B94" s="1098"/>
      <c r="C94" s="840"/>
      <c r="D94" s="840"/>
      <c r="E94" s="839"/>
      <c r="F94" s="274" t="s">
        <v>10</v>
      </c>
      <c r="G94" s="391">
        <v>0</v>
      </c>
      <c r="H94" s="840"/>
      <c r="I94" s="840"/>
      <c r="J94" s="544"/>
      <c r="K94" s="544"/>
    </row>
    <row r="95" spans="1:11" ht="16.2" hidden="1" customHeight="1">
      <c r="A95" s="1011"/>
      <c r="B95" s="1099"/>
      <c r="C95" s="840"/>
      <c r="D95" s="840"/>
      <c r="E95" s="839"/>
      <c r="F95" s="274" t="s">
        <v>11</v>
      </c>
      <c r="G95" s="392">
        <v>0</v>
      </c>
      <c r="H95" s="840"/>
      <c r="I95" s="840"/>
      <c r="J95" s="544"/>
      <c r="K95" s="544"/>
    </row>
    <row r="96" spans="1:11" ht="12.75" customHeight="1">
      <c r="A96" s="1011" t="s">
        <v>954</v>
      </c>
      <c r="B96" s="1012" t="s">
        <v>565</v>
      </c>
      <c r="C96" s="840" t="s">
        <v>43</v>
      </c>
      <c r="D96" s="840">
        <v>1</v>
      </c>
      <c r="E96" s="839" t="s">
        <v>579</v>
      </c>
      <c r="F96" s="266" t="s">
        <v>4</v>
      </c>
      <c r="G96" s="393">
        <f>SUM(G97:G98)</f>
        <v>1475.15</v>
      </c>
      <c r="H96" s="840" t="s">
        <v>84</v>
      </c>
      <c r="I96" s="840"/>
      <c r="J96" s="544"/>
      <c r="K96" s="544"/>
    </row>
    <row r="97" spans="1:11" ht="12.75" customHeight="1">
      <c r="A97" s="1011"/>
      <c r="B97" s="1012"/>
      <c r="C97" s="840"/>
      <c r="D97" s="840"/>
      <c r="E97" s="839"/>
      <c r="F97" s="274" t="s">
        <v>10</v>
      </c>
      <c r="G97" s="391">
        <v>0</v>
      </c>
      <c r="H97" s="840"/>
      <c r="I97" s="840"/>
      <c r="J97" s="544"/>
      <c r="K97" s="544"/>
    </row>
    <row r="98" spans="1:11" ht="12.75" customHeight="1">
      <c r="A98" s="1011"/>
      <c r="B98" s="1097"/>
      <c r="C98" s="840"/>
      <c r="D98" s="840"/>
      <c r="E98" s="839"/>
      <c r="F98" s="274" t="s">
        <v>978</v>
      </c>
      <c r="G98" s="391">
        <v>1475.15</v>
      </c>
      <c r="H98" s="840"/>
      <c r="I98" s="840"/>
      <c r="J98" s="544"/>
      <c r="K98" s="544"/>
    </row>
    <row r="99" spans="1:11" ht="12.75" customHeight="1">
      <c r="A99" s="1011" t="s">
        <v>955</v>
      </c>
      <c r="B99" s="1012" t="s">
        <v>1025</v>
      </c>
      <c r="C99" s="840" t="s">
        <v>43</v>
      </c>
      <c r="D99" s="840">
        <v>1</v>
      </c>
      <c r="E99" s="839" t="s">
        <v>579</v>
      </c>
      <c r="F99" s="266" t="s">
        <v>4</v>
      </c>
      <c r="G99" s="393">
        <f>SUM(G100:G101)</f>
        <v>0</v>
      </c>
      <c r="H99" s="840" t="s">
        <v>87</v>
      </c>
      <c r="I99" s="840"/>
      <c r="J99" s="544"/>
      <c r="K99" s="544"/>
    </row>
    <row r="100" spans="1:11" ht="12.75" customHeight="1">
      <c r="A100" s="1011"/>
      <c r="B100" s="1012"/>
      <c r="C100" s="840"/>
      <c r="D100" s="840"/>
      <c r="E100" s="839"/>
      <c r="F100" s="274" t="s">
        <v>10</v>
      </c>
      <c r="G100" s="391">
        <v>0</v>
      </c>
      <c r="H100" s="840"/>
      <c r="I100" s="840"/>
      <c r="J100" s="544"/>
      <c r="K100" s="544"/>
    </row>
    <row r="101" spans="1:11" ht="12.75" customHeight="1">
      <c r="A101" s="1011"/>
      <c r="B101" s="1097"/>
      <c r="C101" s="840"/>
      <c r="D101" s="840"/>
      <c r="E101" s="839"/>
      <c r="F101" s="274" t="s">
        <v>978</v>
      </c>
      <c r="G101" s="391">
        <v>0</v>
      </c>
      <c r="H101" s="840"/>
      <c r="I101" s="840"/>
      <c r="J101" s="544"/>
      <c r="K101" s="544"/>
    </row>
    <row r="102" spans="1:11" ht="13.2" customHeight="1">
      <c r="A102" s="1011" t="s">
        <v>956</v>
      </c>
      <c r="B102" s="1012" t="s">
        <v>844</v>
      </c>
      <c r="C102" s="1013" t="s">
        <v>43</v>
      </c>
      <c r="D102" s="1013">
        <v>1</v>
      </c>
      <c r="E102" s="839" t="s">
        <v>579</v>
      </c>
      <c r="F102" s="266" t="s">
        <v>4</v>
      </c>
      <c r="G102" s="393">
        <f>SUM(G103:G104)</f>
        <v>2246</v>
      </c>
      <c r="H102" s="840" t="s">
        <v>85</v>
      </c>
      <c r="I102" s="840"/>
      <c r="J102" s="544"/>
      <c r="K102" s="544"/>
    </row>
    <row r="103" spans="1:11" ht="13.2" customHeight="1">
      <c r="A103" s="1011"/>
      <c r="B103" s="1012"/>
      <c r="C103" s="1013"/>
      <c r="D103" s="1013"/>
      <c r="E103" s="839"/>
      <c r="F103" s="274" t="s">
        <v>10</v>
      </c>
      <c r="G103" s="391">
        <v>0</v>
      </c>
      <c r="H103" s="840"/>
      <c r="I103" s="840"/>
      <c r="J103" s="544"/>
      <c r="K103" s="544"/>
    </row>
    <row r="104" spans="1:11" ht="13.2" customHeight="1">
      <c r="A104" s="1011"/>
      <c r="B104" s="1012"/>
      <c r="C104" s="1013"/>
      <c r="D104" s="1013"/>
      <c r="E104" s="839"/>
      <c r="F104" s="274" t="s">
        <v>978</v>
      </c>
      <c r="G104" s="391">
        <v>2246</v>
      </c>
      <c r="H104" s="840"/>
      <c r="I104" s="840"/>
      <c r="J104" s="544"/>
      <c r="K104" s="544"/>
    </row>
    <row r="105" spans="1:11" ht="12.75" customHeight="1">
      <c r="A105" s="1011" t="s">
        <v>1049</v>
      </c>
      <c r="B105" s="1012" t="s">
        <v>1034</v>
      </c>
      <c r="C105" s="840" t="s">
        <v>43</v>
      </c>
      <c r="D105" s="840">
        <v>4</v>
      </c>
      <c r="E105" s="839" t="s">
        <v>579</v>
      </c>
      <c r="F105" s="266" t="s">
        <v>4</v>
      </c>
      <c r="G105" s="393">
        <f>SUM(G106:G107)</f>
        <v>697.44039999999995</v>
      </c>
      <c r="H105" s="840" t="s">
        <v>87</v>
      </c>
      <c r="I105" s="840"/>
      <c r="J105" s="544"/>
      <c r="K105" s="544"/>
    </row>
    <row r="106" spans="1:11" ht="12.75" customHeight="1">
      <c r="A106" s="1011"/>
      <c r="B106" s="1012"/>
      <c r="C106" s="840"/>
      <c r="D106" s="840"/>
      <c r="E106" s="839"/>
      <c r="F106" s="274" t="s">
        <v>10</v>
      </c>
      <c r="G106" s="391">
        <v>0</v>
      </c>
      <c r="H106" s="840"/>
      <c r="I106" s="840"/>
      <c r="J106" s="544"/>
      <c r="K106" s="544"/>
    </row>
    <row r="107" spans="1:11" ht="12.75" customHeight="1">
      <c r="A107" s="1011"/>
      <c r="B107" s="1097"/>
      <c r="C107" s="840"/>
      <c r="D107" s="840"/>
      <c r="E107" s="839"/>
      <c r="F107" s="274" t="s">
        <v>978</v>
      </c>
      <c r="G107" s="391">
        <v>697.44039999999995</v>
      </c>
      <c r="H107" s="840"/>
      <c r="I107" s="840"/>
      <c r="J107" s="544"/>
      <c r="K107" s="544"/>
    </row>
    <row r="108" spans="1:11" ht="13.95" customHeight="1">
      <c r="A108" s="1024" t="s">
        <v>983</v>
      </c>
      <c r="B108" s="1181" t="s">
        <v>957</v>
      </c>
      <c r="C108" s="1026" t="s">
        <v>9</v>
      </c>
      <c r="D108" s="1026" t="s">
        <v>9</v>
      </c>
      <c r="E108" s="1183" t="s">
        <v>9</v>
      </c>
      <c r="F108" s="266" t="s">
        <v>4</v>
      </c>
      <c r="G108" s="270">
        <f>SUM(G109:G110)</f>
        <v>1000</v>
      </c>
      <c r="H108" s="1039"/>
      <c r="I108" s="1039"/>
      <c r="J108" s="544"/>
      <c r="K108" s="544"/>
    </row>
    <row r="109" spans="1:11" ht="13.95" customHeight="1">
      <c r="A109" s="1024"/>
      <c r="B109" s="1181"/>
      <c r="C109" s="1026"/>
      <c r="D109" s="1026"/>
      <c r="E109" s="1183"/>
      <c r="F109" s="266" t="s">
        <v>10</v>
      </c>
      <c r="G109" s="272">
        <f>G112</f>
        <v>0</v>
      </c>
      <c r="H109" s="1039"/>
      <c r="I109" s="1039"/>
      <c r="J109" s="544"/>
      <c r="K109" s="544"/>
    </row>
    <row r="110" spans="1:11" ht="13.95" customHeight="1">
      <c r="A110" s="1024"/>
      <c r="B110" s="1181"/>
      <c r="C110" s="1026"/>
      <c r="D110" s="1026"/>
      <c r="E110" s="1183"/>
      <c r="F110" s="266" t="s">
        <v>978</v>
      </c>
      <c r="G110" s="272">
        <f>G113+G116</f>
        <v>1000</v>
      </c>
      <c r="H110" s="1039"/>
      <c r="I110" s="1039"/>
      <c r="J110" s="544"/>
      <c r="K110" s="544"/>
    </row>
    <row r="111" spans="1:11" ht="13.2" customHeight="1">
      <c r="A111" s="1011" t="s">
        <v>984</v>
      </c>
      <c r="B111" s="1099" t="s">
        <v>1026</v>
      </c>
      <c r="C111" s="840" t="s">
        <v>43</v>
      </c>
      <c r="D111" s="840">
        <v>18</v>
      </c>
      <c r="E111" s="839" t="s">
        <v>579</v>
      </c>
      <c r="F111" s="266" t="s">
        <v>4</v>
      </c>
      <c r="G111" s="393">
        <f>SUM(G112:G113)</f>
        <v>1000</v>
      </c>
      <c r="H111" s="840" t="s">
        <v>87</v>
      </c>
      <c r="I111" s="840"/>
    </row>
    <row r="112" spans="1:11" ht="13.2" customHeight="1">
      <c r="A112" s="1011"/>
      <c r="B112" s="1012"/>
      <c r="C112" s="840"/>
      <c r="D112" s="840"/>
      <c r="E112" s="839"/>
      <c r="F112" s="274" t="s">
        <v>10</v>
      </c>
      <c r="G112" s="391">
        <v>0</v>
      </c>
      <c r="H112" s="840"/>
      <c r="I112" s="840"/>
    </row>
    <row r="113" spans="1:11" ht="13.2" customHeight="1">
      <c r="A113" s="1011"/>
      <c r="B113" s="1012"/>
      <c r="C113" s="840"/>
      <c r="D113" s="840"/>
      <c r="E113" s="839"/>
      <c r="F113" s="274" t="s">
        <v>978</v>
      </c>
      <c r="G113" s="391">
        <v>1000</v>
      </c>
      <c r="H113" s="840"/>
      <c r="I113" s="840"/>
    </row>
    <row r="114" spans="1:11" ht="13.5" hidden="1" customHeight="1">
      <c r="A114" s="1011" t="s">
        <v>986</v>
      </c>
      <c r="B114" s="1012" t="s">
        <v>687</v>
      </c>
      <c r="C114" s="1013" t="s">
        <v>9</v>
      </c>
      <c r="D114" s="1013" t="s">
        <v>9</v>
      </c>
      <c r="E114" s="839" t="s">
        <v>9</v>
      </c>
      <c r="F114" s="266" t="s">
        <v>4</v>
      </c>
      <c r="G114" s="270">
        <f>G115+G116</f>
        <v>0</v>
      </c>
      <c r="H114" s="840" t="s">
        <v>87</v>
      </c>
      <c r="I114" s="840"/>
    </row>
    <row r="115" spans="1:11" ht="13.5" hidden="1" customHeight="1">
      <c r="A115" s="1011"/>
      <c r="B115" s="1012"/>
      <c r="C115" s="1013"/>
      <c r="D115" s="1013"/>
      <c r="E115" s="839"/>
      <c r="F115" s="274" t="s">
        <v>10</v>
      </c>
      <c r="G115" s="275">
        <v>0</v>
      </c>
      <c r="H115" s="840"/>
      <c r="I115" s="840"/>
    </row>
    <row r="116" spans="1:11" ht="13.5" hidden="1" customHeight="1">
      <c r="A116" s="1011"/>
      <c r="B116" s="1012"/>
      <c r="C116" s="1013"/>
      <c r="D116" s="1013"/>
      <c r="E116" s="839"/>
      <c r="F116" s="274" t="s">
        <v>11</v>
      </c>
      <c r="G116" s="275"/>
      <c r="H116" s="840"/>
      <c r="I116" s="840"/>
    </row>
    <row r="117" spans="1:11" ht="13.95" customHeight="1">
      <c r="A117" s="1024"/>
      <c r="B117" s="1030" t="s">
        <v>378</v>
      </c>
      <c r="C117" s="1026" t="s">
        <v>9</v>
      </c>
      <c r="D117" s="1182" t="s">
        <v>9</v>
      </c>
      <c r="E117" s="1026" t="s">
        <v>9</v>
      </c>
      <c r="F117" s="266" t="s">
        <v>4</v>
      </c>
      <c r="G117" s="270">
        <f>G6+G42</f>
        <v>51799.648840000002</v>
      </c>
      <c r="H117" s="1183" t="s">
        <v>9</v>
      </c>
      <c r="I117" s="1183"/>
      <c r="K117" s="435"/>
    </row>
    <row r="118" spans="1:11" ht="13.95" customHeight="1">
      <c r="A118" s="1024"/>
      <c r="B118" s="1030"/>
      <c r="C118" s="1026"/>
      <c r="D118" s="1182"/>
      <c r="E118" s="1026"/>
      <c r="F118" s="266" t="s">
        <v>10</v>
      </c>
      <c r="G118" s="270">
        <f>G7+G43</f>
        <v>23580</v>
      </c>
      <c r="H118" s="1183"/>
      <c r="I118" s="1183"/>
    </row>
    <row r="119" spans="1:11" ht="13.95" customHeight="1">
      <c r="A119" s="1024"/>
      <c r="B119" s="1030"/>
      <c r="C119" s="1026"/>
      <c r="D119" s="1182"/>
      <c r="E119" s="1026"/>
      <c r="F119" s="266" t="s">
        <v>978</v>
      </c>
      <c r="G119" s="270">
        <f>G8+G44</f>
        <v>28219.648840000002</v>
      </c>
      <c r="H119" s="1183"/>
      <c r="I119" s="1183"/>
    </row>
    <row r="120" spans="1:11">
      <c r="G120" s="550">
        <f>G47+G99+G111+G114+G107</f>
        <v>13696.10707</v>
      </c>
      <c r="H120" s="551" t="s">
        <v>685</v>
      </c>
      <c r="I120" s="551"/>
      <c r="J120" s="544"/>
    </row>
    <row r="121" spans="1:11">
      <c r="G121" s="550">
        <f>G8+G53+G98</f>
        <v>12277.541770000002</v>
      </c>
      <c r="H121" s="551" t="s">
        <v>961</v>
      </c>
      <c r="I121" s="550">
        <f>G121-G8</f>
        <v>3956.4564000000009</v>
      </c>
      <c r="J121" s="545">
        <f>I121-3956.4564</f>
        <v>0</v>
      </c>
    </row>
    <row r="122" spans="1:11">
      <c r="G122" s="550">
        <f>G104</f>
        <v>2246</v>
      </c>
      <c r="H122" s="551" t="s">
        <v>962</v>
      </c>
      <c r="I122" s="551"/>
      <c r="J122" s="544"/>
    </row>
    <row r="123" spans="1:11">
      <c r="G123" s="551"/>
      <c r="H123" s="551"/>
      <c r="I123" s="551"/>
      <c r="J123" s="544"/>
    </row>
    <row r="124" spans="1:11">
      <c r="G124" s="552">
        <f>G117-G120</f>
        <v>38103.541770000003</v>
      </c>
      <c r="H124" s="1194" t="s">
        <v>1017</v>
      </c>
      <c r="I124" s="1195"/>
      <c r="J124" s="544"/>
    </row>
    <row r="125" spans="1:11">
      <c r="G125" s="439"/>
    </row>
  </sheetData>
  <mergeCells count="227">
    <mergeCell ref="B33:B35"/>
    <mergeCell ref="A33:A35"/>
    <mergeCell ref="C33:D33"/>
    <mergeCell ref="E33:E35"/>
    <mergeCell ref="H33:I35"/>
    <mergeCell ref="H124:I124"/>
    <mergeCell ref="E12:E14"/>
    <mergeCell ref="H12:I14"/>
    <mergeCell ref="A15:A17"/>
    <mergeCell ref="B15:B17"/>
    <mergeCell ref="C15:D15"/>
    <mergeCell ref="E15:E17"/>
    <mergeCell ref="H15:I17"/>
    <mergeCell ref="B12:B14"/>
    <mergeCell ref="A12:A14"/>
    <mergeCell ref="E21:E23"/>
    <mergeCell ref="H21:I23"/>
    <mergeCell ref="A36:A38"/>
    <mergeCell ref="B36:B38"/>
    <mergeCell ref="C36:D36"/>
    <mergeCell ref="E36:E38"/>
    <mergeCell ref="H36:I38"/>
    <mergeCell ref="A24:A26"/>
    <mergeCell ref="B24:B26"/>
    <mergeCell ref="A6:A8"/>
    <mergeCell ref="B6:B8"/>
    <mergeCell ref="C6:D6"/>
    <mergeCell ref="E6:E8"/>
    <mergeCell ref="H6:I8"/>
    <mergeCell ref="A9:A11"/>
    <mergeCell ref="B9:B11"/>
    <mergeCell ref="C9:D9"/>
    <mergeCell ref="E9:E11"/>
    <mergeCell ref="H9:I11"/>
    <mergeCell ref="F1:I1"/>
    <mergeCell ref="A2:I2"/>
    <mergeCell ref="A3:A5"/>
    <mergeCell ref="B3:B5"/>
    <mergeCell ref="C3:C5"/>
    <mergeCell ref="D3:D5"/>
    <mergeCell ref="E3:E5"/>
    <mergeCell ref="F3:F5"/>
    <mergeCell ref="G3:G5"/>
    <mergeCell ref="H3:I5"/>
    <mergeCell ref="A30:A32"/>
    <mergeCell ref="B30:B32"/>
    <mergeCell ref="C30:D30"/>
    <mergeCell ref="E30:E32"/>
    <mergeCell ref="H30:I32"/>
    <mergeCell ref="C12:D12"/>
    <mergeCell ref="A18:A20"/>
    <mergeCell ref="B18:B20"/>
    <mergeCell ref="C18:D18"/>
    <mergeCell ref="E18:E20"/>
    <mergeCell ref="H18:I20"/>
    <mergeCell ref="A21:A23"/>
    <mergeCell ref="B21:B23"/>
    <mergeCell ref="C21:D21"/>
    <mergeCell ref="C24:D24"/>
    <mergeCell ref="E24:E26"/>
    <mergeCell ref="H24:I26"/>
    <mergeCell ref="A27:A29"/>
    <mergeCell ref="B27:B29"/>
    <mergeCell ref="C27:D27"/>
    <mergeCell ref="E27:E29"/>
    <mergeCell ref="H27:I29"/>
    <mergeCell ref="B39:B41"/>
    <mergeCell ref="C39:D39"/>
    <mergeCell ref="E39:E41"/>
    <mergeCell ref="H39:I41"/>
    <mergeCell ref="A48:A50"/>
    <mergeCell ref="B48:B50"/>
    <mergeCell ref="C48:C50"/>
    <mergeCell ref="D48:D50"/>
    <mergeCell ref="E48:E50"/>
    <mergeCell ref="H48:I50"/>
    <mergeCell ref="A42:A44"/>
    <mergeCell ref="B42:B44"/>
    <mergeCell ref="C42:C44"/>
    <mergeCell ref="D42:D44"/>
    <mergeCell ref="E42:E44"/>
    <mergeCell ref="A45:A47"/>
    <mergeCell ref="B45:B47"/>
    <mergeCell ref="C45:C47"/>
    <mergeCell ref="A39:A41"/>
    <mergeCell ref="H42:I44"/>
    <mergeCell ref="A66:A68"/>
    <mergeCell ref="B66:B68"/>
    <mergeCell ref="C66:C68"/>
    <mergeCell ref="D66:D68"/>
    <mergeCell ref="E66:E68"/>
    <mergeCell ref="H66:I68"/>
    <mergeCell ref="A51:A53"/>
    <mergeCell ref="B51:B53"/>
    <mergeCell ref="E51:E53"/>
    <mergeCell ref="H51:I53"/>
    <mergeCell ref="A54:A56"/>
    <mergeCell ref="B54:B56"/>
    <mergeCell ref="C54:C56"/>
    <mergeCell ref="D54:D56"/>
    <mergeCell ref="E54:E56"/>
    <mergeCell ref="H54:I56"/>
    <mergeCell ref="C51:C53"/>
    <mergeCell ref="D51:D53"/>
    <mergeCell ref="A57:A59"/>
    <mergeCell ref="B60:B62"/>
    <mergeCell ref="C60:C62"/>
    <mergeCell ref="D60:D62"/>
    <mergeCell ref="E60:E62"/>
    <mergeCell ref="H60:I62"/>
    <mergeCell ref="A63:A65"/>
    <mergeCell ref="D45:D47"/>
    <mergeCell ref="E45:E47"/>
    <mergeCell ref="H45:I47"/>
    <mergeCell ref="A75:A77"/>
    <mergeCell ref="B75:B77"/>
    <mergeCell ref="C75:C77"/>
    <mergeCell ref="D75:D77"/>
    <mergeCell ref="E75:E77"/>
    <mergeCell ref="H75:I77"/>
    <mergeCell ref="B57:B59"/>
    <mergeCell ref="C57:C59"/>
    <mergeCell ref="D57:D59"/>
    <mergeCell ref="E57:E59"/>
    <mergeCell ref="H57:I59"/>
    <mergeCell ref="A72:A74"/>
    <mergeCell ref="B72:B74"/>
    <mergeCell ref="C72:C74"/>
    <mergeCell ref="D72:D74"/>
    <mergeCell ref="E72:E74"/>
    <mergeCell ref="H72:I74"/>
    <mergeCell ref="A69:A71"/>
    <mergeCell ref="B69:B71"/>
    <mergeCell ref="C69:C71"/>
    <mergeCell ref="D69:D71"/>
    <mergeCell ref="E69:E71"/>
    <mergeCell ref="H69:I71"/>
    <mergeCell ref="A60:A62"/>
    <mergeCell ref="D81:D83"/>
    <mergeCell ref="E81:E83"/>
    <mergeCell ref="H81:I83"/>
    <mergeCell ref="A84:A86"/>
    <mergeCell ref="B84:B86"/>
    <mergeCell ref="A78:A80"/>
    <mergeCell ref="B78:B80"/>
    <mergeCell ref="C78:C80"/>
    <mergeCell ref="D78:D80"/>
    <mergeCell ref="E78:E80"/>
    <mergeCell ref="H78:I80"/>
    <mergeCell ref="B63:B65"/>
    <mergeCell ref="C63:C65"/>
    <mergeCell ref="D63:D65"/>
    <mergeCell ref="E63:E65"/>
    <mergeCell ref="H63:I65"/>
    <mergeCell ref="C84:C86"/>
    <mergeCell ref="D84:D86"/>
    <mergeCell ref="E84:E86"/>
    <mergeCell ref="H84:I86"/>
    <mergeCell ref="A93:A95"/>
    <mergeCell ref="B93:B95"/>
    <mergeCell ref="C93:C95"/>
    <mergeCell ref="D93:D95"/>
    <mergeCell ref="E93:E95"/>
    <mergeCell ref="H93:I95"/>
    <mergeCell ref="A99:A101"/>
    <mergeCell ref="B99:B101"/>
    <mergeCell ref="C99:C101"/>
    <mergeCell ref="D99:D101"/>
    <mergeCell ref="E99:E101"/>
    <mergeCell ref="H99:I101"/>
    <mergeCell ref="A108:A110"/>
    <mergeCell ref="B108:B110"/>
    <mergeCell ref="C108:C110"/>
    <mergeCell ref="D108:D110"/>
    <mergeCell ref="E108:E110"/>
    <mergeCell ref="H108:I110"/>
    <mergeCell ref="A96:A98"/>
    <mergeCell ref="B96:B98"/>
    <mergeCell ref="C96:C98"/>
    <mergeCell ref="D96:D98"/>
    <mergeCell ref="E96:E98"/>
    <mergeCell ref="H96:I98"/>
    <mergeCell ref="A102:A104"/>
    <mergeCell ref="B102:B104"/>
    <mergeCell ref="C102:C104"/>
    <mergeCell ref="D102:D104"/>
    <mergeCell ref="E102:E104"/>
    <mergeCell ref="H102:I104"/>
    <mergeCell ref="A105:A107"/>
    <mergeCell ref="B105:B107"/>
    <mergeCell ref="C105:C107"/>
    <mergeCell ref="D105:D107"/>
    <mergeCell ref="E105:E107"/>
    <mergeCell ref="H105:I107"/>
    <mergeCell ref="A117:A119"/>
    <mergeCell ref="B117:B119"/>
    <mergeCell ref="C117:C119"/>
    <mergeCell ref="D117:D119"/>
    <mergeCell ref="E117:E119"/>
    <mergeCell ref="H117:I119"/>
    <mergeCell ref="A111:A113"/>
    <mergeCell ref="B111:B113"/>
    <mergeCell ref="C111:C113"/>
    <mergeCell ref="D111:D113"/>
    <mergeCell ref="E111:E113"/>
    <mergeCell ref="H111:I113"/>
    <mergeCell ref="A114:A116"/>
    <mergeCell ref="B114:B116"/>
    <mergeCell ref="C114:C116"/>
    <mergeCell ref="D114:D116"/>
    <mergeCell ref="E114:E116"/>
    <mergeCell ref="H114:I116"/>
    <mergeCell ref="A81:A83"/>
    <mergeCell ref="B81:B83"/>
    <mergeCell ref="C81:C83"/>
    <mergeCell ref="A90:A92"/>
    <mergeCell ref="B90:B92"/>
    <mergeCell ref="C90:C92"/>
    <mergeCell ref="D90:D92"/>
    <mergeCell ref="E90:E92"/>
    <mergeCell ref="H90:I92"/>
    <mergeCell ref="A87:A89"/>
    <mergeCell ref="B87:B89"/>
    <mergeCell ref="C87:C89"/>
    <mergeCell ref="D87:D89"/>
    <mergeCell ref="E87:E89"/>
    <mergeCell ref="H87:I89"/>
  </mergeCells>
  <pageMargins left="0.78740157480314965" right="0.39370078740157483" top="0" bottom="0" header="0.31496062992125984" footer="0.31496062992125984"/>
  <pageSetup paperSize="9" scale="70" orientation="landscape" r:id="rId1"/>
  <rowBreaks count="1" manualBreakCount="1">
    <brk id="47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X240"/>
  <sheetViews>
    <sheetView topLeftCell="A207" workbookViewId="0">
      <selection activeCell="B239" sqref="B239"/>
    </sheetView>
  </sheetViews>
  <sheetFormatPr defaultColWidth="8.88671875" defaultRowHeight="14.4"/>
  <cols>
    <col min="1" max="1" width="6.44140625" style="433" customWidth="1"/>
    <col min="2" max="2" width="67.109375" style="433" customWidth="1"/>
    <col min="3" max="4" width="8.88671875" style="433"/>
    <col min="5" max="5" width="8.109375" style="433" customWidth="1"/>
    <col min="6" max="6" width="16.6640625" style="438" customWidth="1"/>
    <col min="7" max="7" width="16" style="433" customWidth="1"/>
    <col min="8" max="9" width="10.5546875" style="433" customWidth="1"/>
    <col min="10" max="10" width="13.109375" style="628" hidden="1" customWidth="1"/>
    <col min="11" max="11" width="11.33203125" style="635" hidden="1" customWidth="1"/>
    <col min="12" max="12" width="11.6640625" style="425" customWidth="1"/>
    <col min="13" max="13" width="11.88671875" style="425" bestFit="1" customWidth="1"/>
    <col min="14" max="14" width="13.109375" style="425" customWidth="1"/>
    <col min="15" max="24" width="8.88671875" style="425"/>
    <col min="25" max="16384" width="8.88671875" style="254"/>
  </cols>
  <sheetData>
    <row r="1" spans="1:13" ht="35.4" customHeight="1">
      <c r="F1" s="1192" t="s">
        <v>699</v>
      </c>
      <c r="G1" s="1192"/>
      <c r="H1" s="1192"/>
      <c r="I1" s="1192"/>
    </row>
    <row r="2" spans="1:13" ht="44.4" customHeight="1">
      <c r="A2" s="1193" t="s">
        <v>580</v>
      </c>
      <c r="B2" s="1193"/>
      <c r="C2" s="1193"/>
      <c r="D2" s="1193"/>
      <c r="E2" s="1193"/>
      <c r="F2" s="1193"/>
      <c r="G2" s="1193"/>
      <c r="H2" s="1193"/>
      <c r="I2" s="1193"/>
    </row>
    <row r="3" spans="1:13" ht="15" customHeight="1">
      <c r="A3" s="1038" t="s">
        <v>0</v>
      </c>
      <c r="B3" s="1039" t="s">
        <v>6</v>
      </c>
      <c r="C3" s="1039" t="s">
        <v>7</v>
      </c>
      <c r="D3" s="1040" t="s">
        <v>79</v>
      </c>
      <c r="E3" s="1039" t="s">
        <v>369</v>
      </c>
      <c r="F3" s="1039" t="s">
        <v>76</v>
      </c>
      <c r="G3" s="1041" t="s">
        <v>77</v>
      </c>
      <c r="H3" s="1041" t="s">
        <v>370</v>
      </c>
      <c r="I3" s="1041"/>
    </row>
    <row r="4" spans="1:13">
      <c r="A4" s="1038"/>
      <c r="B4" s="1039"/>
      <c r="C4" s="1039"/>
      <c r="D4" s="1040"/>
      <c r="E4" s="1039"/>
      <c r="F4" s="1039"/>
      <c r="G4" s="1041"/>
      <c r="H4" s="1041"/>
      <c r="I4" s="1041"/>
    </row>
    <row r="5" spans="1:13" ht="12.6" customHeight="1">
      <c r="A5" s="1038"/>
      <c r="B5" s="1039"/>
      <c r="C5" s="1039"/>
      <c r="D5" s="1040"/>
      <c r="E5" s="1039"/>
      <c r="F5" s="1039"/>
      <c r="G5" s="1041"/>
      <c r="H5" s="1041"/>
      <c r="I5" s="1041"/>
      <c r="J5" s="628" t="s">
        <v>1108</v>
      </c>
      <c r="K5" s="635" t="s">
        <v>695</v>
      </c>
    </row>
    <row r="6" spans="1:13" ht="24" customHeight="1">
      <c r="A6" s="1024" t="s">
        <v>3</v>
      </c>
      <c r="B6" s="1030" t="s">
        <v>371</v>
      </c>
      <c r="C6" s="1026"/>
      <c r="D6" s="1026"/>
      <c r="E6" s="1183" t="s">
        <v>770</v>
      </c>
      <c r="F6" s="266" t="s">
        <v>4</v>
      </c>
      <c r="G6" s="267">
        <f>SUM(G7:G8)</f>
        <v>34805.01827</v>
      </c>
      <c r="H6" s="1183" t="s">
        <v>9</v>
      </c>
      <c r="I6" s="1183"/>
      <c r="J6" s="632">
        <f>SUM(J7:J8)</f>
        <v>34336.131469999993</v>
      </c>
      <c r="K6" s="632">
        <f>SUM(K7:K8)</f>
        <v>1.0516032489249483E-12</v>
      </c>
    </row>
    <row r="7" spans="1:13" ht="24" customHeight="1">
      <c r="A7" s="1024"/>
      <c r="B7" s="1030"/>
      <c r="C7" s="780" t="s">
        <v>131</v>
      </c>
      <c r="D7" s="269">
        <f>D10+D46</f>
        <v>413.5</v>
      </c>
      <c r="E7" s="1183"/>
      <c r="F7" s="266" t="s">
        <v>10</v>
      </c>
      <c r="G7" s="267">
        <f>G10+G46</f>
        <v>27999.999999999996</v>
      </c>
      <c r="H7" s="1183"/>
      <c r="I7" s="1183"/>
      <c r="J7" s="632">
        <f>J10+J46</f>
        <v>27999.999999999996</v>
      </c>
      <c r="K7" s="632">
        <f>K10+K46</f>
        <v>1.4210854715202004E-13</v>
      </c>
    </row>
    <row r="8" spans="1:13" ht="24" customHeight="1">
      <c r="A8" s="1024"/>
      <c r="B8" s="1030"/>
      <c r="C8" s="780" t="s">
        <v>215</v>
      </c>
      <c r="D8" s="269">
        <f>D11+D47</f>
        <v>15658.77</v>
      </c>
      <c r="E8" s="1183"/>
      <c r="F8" s="266" t="s">
        <v>978</v>
      </c>
      <c r="G8" s="267">
        <f>G11+G47</f>
        <v>6805.0182700000005</v>
      </c>
      <c r="H8" s="1183"/>
      <c r="I8" s="1183"/>
      <c r="J8" s="632">
        <f>J11+J47</f>
        <v>6336.1314699999994</v>
      </c>
      <c r="K8" s="632">
        <f>K11+K47</f>
        <v>9.0949470177292824E-13</v>
      </c>
      <c r="L8" s="746"/>
      <c r="M8" s="744"/>
    </row>
    <row r="9" spans="1:13" ht="15" customHeight="1">
      <c r="A9" s="1029" t="s">
        <v>82</v>
      </c>
      <c r="B9" s="1030" t="s">
        <v>83</v>
      </c>
      <c r="C9" s="1026"/>
      <c r="D9" s="1026"/>
      <c r="E9" s="1183" t="s">
        <v>770</v>
      </c>
      <c r="F9" s="266" t="s">
        <v>4</v>
      </c>
      <c r="G9" s="272">
        <f>G10+G11</f>
        <v>28882.438669999996</v>
      </c>
      <c r="H9" s="1039" t="s">
        <v>84</v>
      </c>
      <c r="I9" s="1039"/>
      <c r="J9" s="633">
        <f>J10+J11</f>
        <v>28413.551869999996</v>
      </c>
      <c r="K9" s="633">
        <f>K10+K11</f>
        <v>1.0516032489249483E-12</v>
      </c>
    </row>
    <row r="10" spans="1:13" ht="15" customHeight="1">
      <c r="A10" s="1029"/>
      <c r="B10" s="1030"/>
      <c r="C10" s="780" t="s">
        <v>131</v>
      </c>
      <c r="D10" s="783">
        <f>D13+D19+D22+D25+D28+D31+D34</f>
        <v>413.5</v>
      </c>
      <c r="E10" s="1183"/>
      <c r="F10" s="266" t="s">
        <v>10</v>
      </c>
      <c r="G10" s="272">
        <f>G13+G16+G19+G22+G25+G28+G31+G34+G37+G40+G43</f>
        <v>23334.384889999998</v>
      </c>
      <c r="H10" s="1039"/>
      <c r="I10" s="1039"/>
      <c r="J10" s="633">
        <f>J13+J16+J19+J22+J25+J28+J31+J34</f>
        <v>23334.384889999998</v>
      </c>
      <c r="K10" s="633">
        <f>K13+K16+K19+K22+K25+K28+K31+K34+K37</f>
        <v>1.4210854715202004E-13</v>
      </c>
    </row>
    <row r="11" spans="1:13" ht="15" customHeight="1">
      <c r="A11" s="1029"/>
      <c r="B11" s="1030"/>
      <c r="C11" s="780" t="s">
        <v>215</v>
      </c>
      <c r="D11" s="783">
        <f>D14+D17+D20+D23+D26+D29+D32+D35+D41</f>
        <v>14214.87</v>
      </c>
      <c r="E11" s="1183"/>
      <c r="F11" s="266" t="s">
        <v>978</v>
      </c>
      <c r="G11" s="272">
        <f>G14+G17+G20+G23+G26+G29+G32+G35+G38+G41+G44</f>
        <v>5548.0537800000002</v>
      </c>
      <c r="H11" s="1039"/>
      <c r="I11" s="1039"/>
      <c r="J11" s="633">
        <f>J14+J17+J20+J23+J26+J29+J32+J35</f>
        <v>5079.1669799999991</v>
      </c>
      <c r="K11" s="633">
        <f>K14+K17+K20+K23+K26+K29+K32+K35+K38</f>
        <v>9.0949470177292824E-13</v>
      </c>
    </row>
    <row r="12" spans="1:13" ht="15.6" customHeight="1">
      <c r="A12" s="1011" t="s">
        <v>35</v>
      </c>
      <c r="B12" s="1196" t="s">
        <v>1070</v>
      </c>
      <c r="C12" s="1033"/>
      <c r="D12" s="1033"/>
      <c r="E12" s="839" t="s">
        <v>770</v>
      </c>
      <c r="F12" s="434" t="s">
        <v>4</v>
      </c>
      <c r="G12" s="787">
        <f>G13+G14</f>
        <v>13968.963739999999</v>
      </c>
      <c r="H12" s="840" t="s">
        <v>84</v>
      </c>
      <c r="I12" s="840"/>
      <c r="J12" s="627">
        <f>J13+J14</f>
        <v>13968.963739999999</v>
      </c>
      <c r="K12" s="636">
        <f>G12-J12</f>
        <v>0</v>
      </c>
    </row>
    <row r="13" spans="1:13" ht="15.6" customHeight="1">
      <c r="A13" s="1011"/>
      <c r="B13" s="1196"/>
      <c r="C13" s="781" t="s">
        <v>131</v>
      </c>
      <c r="D13" s="436" t="s">
        <v>1066</v>
      </c>
      <c r="E13" s="839"/>
      <c r="F13" s="437" t="s">
        <v>10</v>
      </c>
      <c r="G13" s="391">
        <v>10850.32553</v>
      </c>
      <c r="H13" s="840"/>
      <c r="I13" s="840"/>
      <c r="J13" s="634">
        <v>10850.32553</v>
      </c>
      <c r="K13" s="636">
        <f t="shared" ref="K13:K50" si="0">G13-J13</f>
        <v>0</v>
      </c>
    </row>
    <row r="14" spans="1:13" ht="18.75" customHeight="1">
      <c r="A14" s="1011"/>
      <c r="B14" s="1196"/>
      <c r="C14" s="781" t="s">
        <v>215</v>
      </c>
      <c r="D14" s="436" t="s">
        <v>1157</v>
      </c>
      <c r="E14" s="839"/>
      <c r="F14" s="437" t="s">
        <v>978</v>
      </c>
      <c r="G14" s="391">
        <v>3118.6382100000001</v>
      </c>
      <c r="H14" s="840"/>
      <c r="I14" s="840"/>
      <c r="J14" s="634">
        <v>3118.6382100000001</v>
      </c>
      <c r="K14" s="636">
        <f t="shared" si="0"/>
        <v>0</v>
      </c>
    </row>
    <row r="15" spans="1:13" ht="15.6" customHeight="1">
      <c r="A15" s="1011" t="s">
        <v>40</v>
      </c>
      <c r="B15" s="1196" t="s">
        <v>1070</v>
      </c>
      <c r="C15" s="1033"/>
      <c r="D15" s="1033"/>
      <c r="E15" s="839" t="s">
        <v>770</v>
      </c>
      <c r="F15" s="434" t="s">
        <v>4</v>
      </c>
      <c r="G15" s="787">
        <f>G16+G17</f>
        <v>1700.4455700000001</v>
      </c>
      <c r="H15" s="840" t="s">
        <v>84</v>
      </c>
      <c r="I15" s="840"/>
      <c r="J15" s="627">
        <f>J16+J17</f>
        <v>1700.4455700000001</v>
      </c>
      <c r="K15" s="636">
        <f t="shared" si="0"/>
        <v>0</v>
      </c>
    </row>
    <row r="16" spans="1:13" ht="15.6" customHeight="1">
      <c r="A16" s="1011"/>
      <c r="B16" s="1196"/>
      <c r="C16" s="781" t="s">
        <v>131</v>
      </c>
      <c r="D16" s="436" t="s">
        <v>1066</v>
      </c>
      <c r="E16" s="839"/>
      <c r="F16" s="437" t="s">
        <v>10</v>
      </c>
      <c r="G16" s="275">
        <v>1530.40101</v>
      </c>
      <c r="H16" s="840"/>
      <c r="I16" s="840"/>
      <c r="J16" s="634">
        <v>1530.40101</v>
      </c>
      <c r="K16" s="636">
        <f t="shared" si="0"/>
        <v>0</v>
      </c>
    </row>
    <row r="17" spans="1:11" ht="21.75" customHeight="1">
      <c r="A17" s="1011"/>
      <c r="B17" s="1196"/>
      <c r="C17" s="781" t="s">
        <v>215</v>
      </c>
      <c r="D17" s="436" t="s">
        <v>1158</v>
      </c>
      <c r="E17" s="839"/>
      <c r="F17" s="437" t="s">
        <v>978</v>
      </c>
      <c r="G17" s="275">
        <v>170.04455999999999</v>
      </c>
      <c r="H17" s="840"/>
      <c r="I17" s="840"/>
      <c r="J17" s="634">
        <v>170.04455999999999</v>
      </c>
      <c r="K17" s="636">
        <f t="shared" si="0"/>
        <v>0</v>
      </c>
    </row>
    <row r="18" spans="1:11" ht="16.2" customHeight="1">
      <c r="A18" s="1011" t="s">
        <v>200</v>
      </c>
      <c r="B18" s="1068" t="s">
        <v>1065</v>
      </c>
      <c r="C18" s="1188"/>
      <c r="D18" s="1189"/>
      <c r="E18" s="839" t="s">
        <v>770</v>
      </c>
      <c r="F18" s="434" t="s">
        <v>4</v>
      </c>
      <c r="G18" s="393">
        <f>5131.81094+360.49426</f>
        <v>5492.3052000000007</v>
      </c>
      <c r="H18" s="840" t="s">
        <v>84</v>
      </c>
      <c r="I18" s="840"/>
      <c r="J18" s="578">
        <v>5492.3051999999998</v>
      </c>
      <c r="K18" s="647">
        <f t="shared" si="0"/>
        <v>0</v>
      </c>
    </row>
    <row r="19" spans="1:11" ht="16.2" customHeight="1">
      <c r="A19" s="1011"/>
      <c r="B19" s="1069"/>
      <c r="C19" s="781" t="s">
        <v>131</v>
      </c>
      <c r="D19" s="436" t="s">
        <v>1063</v>
      </c>
      <c r="E19" s="839"/>
      <c r="F19" s="437" t="s">
        <v>10</v>
      </c>
      <c r="G19" s="391">
        <v>4618.6298500000003</v>
      </c>
      <c r="H19" s="840"/>
      <c r="I19" s="840"/>
      <c r="J19" s="634">
        <v>4618.6298500000003</v>
      </c>
      <c r="K19" s="647">
        <f t="shared" si="0"/>
        <v>0</v>
      </c>
    </row>
    <row r="20" spans="1:11" ht="15.6" customHeight="1">
      <c r="A20" s="1011"/>
      <c r="B20" s="1070"/>
      <c r="C20" s="781" t="s">
        <v>215</v>
      </c>
      <c r="D20" s="436" t="s">
        <v>1064</v>
      </c>
      <c r="E20" s="839"/>
      <c r="F20" s="437" t="s">
        <v>978</v>
      </c>
      <c r="G20" s="391">
        <f>G18-G19</f>
        <v>873.67535000000044</v>
      </c>
      <c r="H20" s="840"/>
      <c r="I20" s="840"/>
      <c r="J20" s="634">
        <f>J18-J19</f>
        <v>873.67534999999953</v>
      </c>
      <c r="K20" s="647">
        <f t="shared" si="0"/>
        <v>9.0949470177292824E-13</v>
      </c>
    </row>
    <row r="21" spans="1:11" ht="18" customHeight="1">
      <c r="A21" s="1011" t="s">
        <v>201</v>
      </c>
      <c r="B21" s="1068" t="s">
        <v>1067</v>
      </c>
      <c r="C21" s="1188"/>
      <c r="D21" s="1189"/>
      <c r="E21" s="839" t="s">
        <v>770</v>
      </c>
      <c r="F21" s="434" t="s">
        <v>4</v>
      </c>
      <c r="G21" s="393">
        <f>G22+G23</f>
        <v>5574.2844399999994</v>
      </c>
      <c r="H21" s="840" t="s">
        <v>84</v>
      </c>
      <c r="I21" s="840"/>
      <c r="J21" s="578">
        <f>J22+J23</f>
        <v>5574.2844399999994</v>
      </c>
      <c r="K21" s="636">
        <f t="shared" si="0"/>
        <v>0</v>
      </c>
    </row>
    <row r="22" spans="1:11" ht="18" customHeight="1">
      <c r="A22" s="1011"/>
      <c r="B22" s="1069"/>
      <c r="C22" s="781" t="s">
        <v>131</v>
      </c>
      <c r="D22" s="436" t="s">
        <v>1066</v>
      </c>
      <c r="E22" s="839"/>
      <c r="F22" s="437" t="s">
        <v>10</v>
      </c>
      <c r="G22" s="391">
        <v>5016.8559999999998</v>
      </c>
      <c r="H22" s="840"/>
      <c r="I22" s="840"/>
      <c r="J22" s="634">
        <v>5016.8559999999998</v>
      </c>
      <c r="K22" s="636">
        <f t="shared" si="0"/>
        <v>0</v>
      </c>
    </row>
    <row r="23" spans="1:11" ht="18" customHeight="1">
      <c r="A23" s="1011"/>
      <c r="B23" s="1069"/>
      <c r="C23" s="781" t="s">
        <v>215</v>
      </c>
      <c r="D23" s="436" t="s">
        <v>1068</v>
      </c>
      <c r="E23" s="839"/>
      <c r="F23" s="437" t="s">
        <v>978</v>
      </c>
      <c r="G23" s="391">
        <v>557.42844000000002</v>
      </c>
      <c r="H23" s="840"/>
      <c r="I23" s="840"/>
      <c r="J23" s="634">
        <v>557.42844000000002</v>
      </c>
      <c r="K23" s="636">
        <f t="shared" si="0"/>
        <v>0</v>
      </c>
    </row>
    <row r="24" spans="1:11" ht="16.2" customHeight="1">
      <c r="A24" s="1086" t="s">
        <v>205</v>
      </c>
      <c r="B24" s="1068" t="s">
        <v>1093</v>
      </c>
      <c r="C24" s="1188"/>
      <c r="D24" s="1189"/>
      <c r="E24" s="839" t="s">
        <v>770</v>
      </c>
      <c r="F24" s="434" t="s">
        <v>4</v>
      </c>
      <c r="G24" s="393">
        <f>G25+G26</f>
        <v>258.54360000000003</v>
      </c>
      <c r="H24" s="840" t="s">
        <v>84</v>
      </c>
      <c r="I24" s="840"/>
      <c r="J24" s="578">
        <f>J25+J26</f>
        <v>258.54360000000003</v>
      </c>
      <c r="K24" s="636">
        <f t="shared" si="0"/>
        <v>0</v>
      </c>
    </row>
    <row r="25" spans="1:11" ht="16.2" customHeight="1">
      <c r="A25" s="1072"/>
      <c r="B25" s="1069"/>
      <c r="C25" s="781" t="s">
        <v>131</v>
      </c>
      <c r="D25" s="436" t="s">
        <v>295</v>
      </c>
      <c r="E25" s="839"/>
      <c r="F25" s="437" t="s">
        <v>10</v>
      </c>
      <c r="G25" s="391">
        <v>232.68924000000001</v>
      </c>
      <c r="H25" s="840"/>
      <c r="I25" s="840"/>
      <c r="J25" s="634">
        <v>232.68924000000001</v>
      </c>
      <c r="K25" s="636">
        <f t="shared" si="0"/>
        <v>0</v>
      </c>
    </row>
    <row r="26" spans="1:11" ht="16.2" customHeight="1">
      <c r="A26" s="1072"/>
      <c r="B26" s="1069"/>
      <c r="C26" s="781" t="s">
        <v>215</v>
      </c>
      <c r="D26" s="436" t="s">
        <v>1097</v>
      </c>
      <c r="E26" s="839"/>
      <c r="F26" s="437" t="s">
        <v>978</v>
      </c>
      <c r="G26" s="391">
        <v>25.85436</v>
      </c>
      <c r="H26" s="840"/>
      <c r="I26" s="840"/>
      <c r="J26" s="634">
        <v>25.85436</v>
      </c>
      <c r="K26" s="636">
        <f t="shared" si="0"/>
        <v>0</v>
      </c>
    </row>
    <row r="27" spans="1:11" ht="16.2" customHeight="1">
      <c r="A27" s="1086" t="s">
        <v>355</v>
      </c>
      <c r="B27" s="1068" t="s">
        <v>1094</v>
      </c>
      <c r="C27" s="1188"/>
      <c r="D27" s="1189"/>
      <c r="E27" s="1032" t="s">
        <v>770</v>
      </c>
      <c r="F27" s="434" t="s">
        <v>4</v>
      </c>
      <c r="G27" s="270">
        <f>SUM(G28:G29)</f>
        <v>955.91863999999998</v>
      </c>
      <c r="H27" s="840" t="s">
        <v>84</v>
      </c>
      <c r="I27" s="840"/>
      <c r="J27" s="578">
        <f>SUM(J28:J29)</f>
        <v>955.91863999999998</v>
      </c>
      <c r="K27" s="647">
        <f t="shared" si="0"/>
        <v>0</v>
      </c>
    </row>
    <row r="28" spans="1:11" ht="16.2" customHeight="1">
      <c r="A28" s="1072"/>
      <c r="B28" s="1069"/>
      <c r="C28" s="781" t="s">
        <v>131</v>
      </c>
      <c r="D28" s="436" t="s">
        <v>1098</v>
      </c>
      <c r="E28" s="1032"/>
      <c r="F28" s="437" t="s">
        <v>10</v>
      </c>
      <c r="G28" s="275">
        <v>848.85574999999994</v>
      </c>
      <c r="H28" s="840"/>
      <c r="I28" s="840"/>
      <c r="J28" s="634">
        <v>848.85574999999994</v>
      </c>
      <c r="K28" s="647">
        <f t="shared" si="0"/>
        <v>0</v>
      </c>
    </row>
    <row r="29" spans="1:11" ht="16.2" customHeight="1">
      <c r="A29" s="1072"/>
      <c r="B29" s="1069"/>
      <c r="C29" s="781" t="s">
        <v>215</v>
      </c>
      <c r="D29" s="436" t="s">
        <v>1159</v>
      </c>
      <c r="E29" s="1032"/>
      <c r="F29" s="437" t="s">
        <v>978</v>
      </c>
      <c r="G29" s="275">
        <v>107.06289</v>
      </c>
      <c r="H29" s="840"/>
      <c r="I29" s="840"/>
      <c r="J29" s="634">
        <v>107.06289</v>
      </c>
      <c r="K29" s="647">
        <f t="shared" si="0"/>
        <v>0</v>
      </c>
    </row>
    <row r="30" spans="1:11" ht="16.2" customHeight="1">
      <c r="A30" s="1086" t="s">
        <v>357</v>
      </c>
      <c r="B30" s="1068" t="s">
        <v>1095</v>
      </c>
      <c r="C30" s="1188"/>
      <c r="D30" s="1189"/>
      <c r="E30" s="1032" t="s">
        <v>770</v>
      </c>
      <c r="F30" s="434" t="s">
        <v>4</v>
      </c>
      <c r="G30" s="393">
        <f>SUM(G31:G32)</f>
        <v>206.29468</v>
      </c>
      <c r="H30" s="840" t="s">
        <v>84</v>
      </c>
      <c r="I30" s="840"/>
      <c r="J30" s="578">
        <f>SUM(J31:J32)</f>
        <v>206.29468</v>
      </c>
      <c r="K30" s="636">
        <f t="shared" si="0"/>
        <v>0</v>
      </c>
    </row>
    <row r="31" spans="1:11" ht="16.2" customHeight="1">
      <c r="A31" s="1072"/>
      <c r="B31" s="1069"/>
      <c r="C31" s="781" t="s">
        <v>131</v>
      </c>
      <c r="D31" s="436" t="s">
        <v>504</v>
      </c>
      <c r="E31" s="1032"/>
      <c r="F31" s="437" t="s">
        <v>10</v>
      </c>
      <c r="G31" s="391">
        <v>185.66521</v>
      </c>
      <c r="H31" s="840"/>
      <c r="I31" s="840"/>
      <c r="J31" s="391">
        <v>185.66521</v>
      </c>
      <c r="K31" s="636">
        <f t="shared" si="0"/>
        <v>0</v>
      </c>
    </row>
    <row r="32" spans="1:11" ht="16.2" customHeight="1">
      <c r="A32" s="1072"/>
      <c r="B32" s="1069"/>
      <c r="C32" s="781" t="s">
        <v>215</v>
      </c>
      <c r="D32" s="436" t="s">
        <v>1160</v>
      </c>
      <c r="E32" s="1032"/>
      <c r="F32" s="437" t="s">
        <v>978</v>
      </c>
      <c r="G32" s="391">
        <v>20.629470000000001</v>
      </c>
      <c r="H32" s="840"/>
      <c r="I32" s="840"/>
      <c r="J32" s="391">
        <v>20.629470000000001</v>
      </c>
      <c r="K32" s="636">
        <f t="shared" si="0"/>
        <v>0</v>
      </c>
    </row>
    <row r="33" spans="1:12" ht="16.2" customHeight="1">
      <c r="A33" s="1086" t="s">
        <v>359</v>
      </c>
      <c r="B33" s="1068" t="s">
        <v>1109</v>
      </c>
      <c r="C33" s="1188"/>
      <c r="D33" s="1189"/>
      <c r="E33" s="1032" t="s">
        <v>770</v>
      </c>
      <c r="F33" s="434" t="s">
        <v>4</v>
      </c>
      <c r="G33" s="393">
        <f>SUM(G34:G35)</f>
        <v>256.79600000000005</v>
      </c>
      <c r="H33" s="840" t="s">
        <v>84</v>
      </c>
      <c r="I33" s="840"/>
      <c r="J33" s="629">
        <v>256.79599999999999</v>
      </c>
      <c r="K33" s="636">
        <f t="shared" si="0"/>
        <v>0</v>
      </c>
    </row>
    <row r="34" spans="1:12" ht="16.2" customHeight="1">
      <c r="A34" s="1072"/>
      <c r="B34" s="1122"/>
      <c r="C34" s="781" t="s">
        <v>131</v>
      </c>
      <c r="D34" s="436" t="s">
        <v>1161</v>
      </c>
      <c r="E34" s="1032"/>
      <c r="F34" s="437" t="s">
        <v>10</v>
      </c>
      <c r="G34" s="391">
        <f>28000-G13-G16-G19-G22-G25-G28-G31-G49</f>
        <v>50.962300000000141</v>
      </c>
      <c r="H34" s="840"/>
      <c r="I34" s="840"/>
      <c r="J34" s="629">
        <v>50.962299999999999</v>
      </c>
      <c r="K34" s="636">
        <f t="shared" si="0"/>
        <v>1.4210854715202004E-13</v>
      </c>
    </row>
    <row r="35" spans="1:12" ht="16.2" customHeight="1">
      <c r="A35" s="1072"/>
      <c r="B35" s="1122"/>
      <c r="C35" s="781" t="s">
        <v>215</v>
      </c>
      <c r="D35" s="436" t="s">
        <v>502</v>
      </c>
      <c r="E35" s="1032"/>
      <c r="F35" s="437" t="s">
        <v>978</v>
      </c>
      <c r="G35" s="391">
        <f>5975.63721+360.49426-G14-G17-G20-G23-G26-G29-G32-G50</f>
        <v>205.83369999999991</v>
      </c>
      <c r="H35" s="840"/>
      <c r="I35" s="840"/>
      <c r="J35" s="629">
        <v>205.83369999999999</v>
      </c>
      <c r="K35" s="636">
        <f>G35-J35</f>
        <v>0</v>
      </c>
    </row>
    <row r="36" spans="1:12" ht="16.2" customHeight="1">
      <c r="A36" s="1086" t="s">
        <v>395</v>
      </c>
      <c r="B36" s="1068" t="s">
        <v>1122</v>
      </c>
      <c r="C36" s="1188"/>
      <c r="D36" s="1189"/>
      <c r="E36" s="1032" t="s">
        <v>770</v>
      </c>
      <c r="F36" s="434" t="s">
        <v>4</v>
      </c>
      <c r="G36" s="393">
        <f>SUM(G37:G38)</f>
        <v>29.297000000000001</v>
      </c>
      <c r="H36" s="840" t="s">
        <v>84</v>
      </c>
      <c r="I36" s="840"/>
      <c r="J36" s="629">
        <v>29.297000000000001</v>
      </c>
      <c r="K36" s="636">
        <f t="shared" si="0"/>
        <v>0</v>
      </c>
    </row>
    <row r="37" spans="1:12" ht="16.2" customHeight="1">
      <c r="A37" s="1072"/>
      <c r="B37" s="1069"/>
      <c r="C37" s="781"/>
      <c r="D37" s="436"/>
      <c r="E37" s="1032"/>
      <c r="F37" s="437" t="s">
        <v>10</v>
      </c>
      <c r="G37" s="391"/>
      <c r="H37" s="840"/>
      <c r="I37" s="840"/>
      <c r="J37" s="629"/>
      <c r="K37" s="636">
        <f t="shared" si="0"/>
        <v>0</v>
      </c>
    </row>
    <row r="38" spans="1:12" ht="16.2" customHeight="1">
      <c r="A38" s="1072"/>
      <c r="B38" s="1069"/>
      <c r="C38" s="781" t="s">
        <v>43</v>
      </c>
      <c r="D38" s="436" t="s">
        <v>439</v>
      </c>
      <c r="E38" s="1032"/>
      <c r="F38" s="437" t="s">
        <v>978</v>
      </c>
      <c r="G38" s="391">
        <v>29.297000000000001</v>
      </c>
      <c r="H38" s="840"/>
      <c r="I38" s="840"/>
      <c r="J38" s="629">
        <v>29.297000000000001</v>
      </c>
      <c r="K38" s="636">
        <f t="shared" si="0"/>
        <v>0</v>
      </c>
    </row>
    <row r="39" spans="1:12" ht="19.95" customHeight="1">
      <c r="A39" s="1086" t="s">
        <v>1170</v>
      </c>
      <c r="B39" s="1097" t="s">
        <v>1166</v>
      </c>
      <c r="C39" s="1197"/>
      <c r="D39" s="1198"/>
      <c r="E39" s="1042" t="s">
        <v>770</v>
      </c>
      <c r="F39" s="266" t="s">
        <v>4</v>
      </c>
      <c r="G39" s="742">
        <f>G40+G41</f>
        <v>300</v>
      </c>
      <c r="H39" s="1045" t="s">
        <v>84</v>
      </c>
      <c r="I39" s="1046"/>
      <c r="J39" s="634"/>
      <c r="K39" s="636"/>
    </row>
    <row r="40" spans="1:12" ht="19.95" customHeight="1">
      <c r="A40" s="1072"/>
      <c r="B40" s="1098"/>
      <c r="C40" s="779" t="s">
        <v>131</v>
      </c>
      <c r="D40" s="273" t="s">
        <v>1169</v>
      </c>
      <c r="E40" s="1043"/>
      <c r="F40" s="274" t="s">
        <v>10</v>
      </c>
      <c r="G40" s="742"/>
      <c r="H40" s="1047"/>
      <c r="I40" s="1048"/>
      <c r="J40" s="634"/>
      <c r="K40" s="636"/>
    </row>
    <row r="41" spans="1:12" ht="19.95" customHeight="1">
      <c r="A41" s="1073"/>
      <c r="B41" s="1099"/>
      <c r="C41" s="779" t="s">
        <v>215</v>
      </c>
      <c r="D41" s="273" t="s">
        <v>1167</v>
      </c>
      <c r="E41" s="1044"/>
      <c r="F41" s="437" t="s">
        <v>978</v>
      </c>
      <c r="G41" s="742">
        <v>300</v>
      </c>
      <c r="H41" s="1049"/>
      <c r="I41" s="1050"/>
      <c r="J41" s="634"/>
      <c r="K41" s="636"/>
    </row>
    <row r="42" spans="1:12" ht="18" customHeight="1">
      <c r="A42" s="1229" t="s">
        <v>1171</v>
      </c>
      <c r="B42" s="1097" t="s">
        <v>1071</v>
      </c>
      <c r="C42" s="1216"/>
      <c r="D42" s="1235"/>
      <c r="E42" s="1042" t="s">
        <v>770</v>
      </c>
      <c r="F42" s="434" t="s">
        <v>4</v>
      </c>
      <c r="G42" s="742">
        <f>G43+G44</f>
        <v>139.5898</v>
      </c>
      <c r="H42" s="1045" t="s">
        <v>84</v>
      </c>
      <c r="I42" s="1199"/>
      <c r="J42" s="630"/>
      <c r="L42" s="788"/>
    </row>
    <row r="43" spans="1:12" ht="18" customHeight="1">
      <c r="A43" s="1230"/>
      <c r="B43" s="1098"/>
      <c r="C43" s="779"/>
      <c r="D43" s="273"/>
      <c r="E43" s="1043"/>
      <c r="F43" s="437" t="s">
        <v>10</v>
      </c>
      <c r="G43" s="742"/>
      <c r="H43" s="1047"/>
      <c r="I43" s="1200"/>
      <c r="J43" s="630"/>
    </row>
    <row r="44" spans="1:12" ht="18" customHeight="1">
      <c r="A44" s="1231"/>
      <c r="B44" s="1099"/>
      <c r="C44" s="779" t="s">
        <v>1200</v>
      </c>
      <c r="D44" s="273" t="s">
        <v>504</v>
      </c>
      <c r="E44" s="1044"/>
      <c r="F44" s="437" t="s">
        <v>11</v>
      </c>
      <c r="G44" s="742">
        <v>139.5898</v>
      </c>
      <c r="H44" s="1049"/>
      <c r="I44" s="1201"/>
      <c r="J44" s="630"/>
    </row>
    <row r="45" spans="1:12" ht="19.95" customHeight="1">
      <c r="A45" s="1204" t="s">
        <v>498</v>
      </c>
      <c r="B45" s="1058" t="s">
        <v>499</v>
      </c>
      <c r="C45" s="1207"/>
      <c r="D45" s="1208"/>
      <c r="E45" s="1185" t="s">
        <v>770</v>
      </c>
      <c r="F45" s="266" t="s">
        <v>4</v>
      </c>
      <c r="G45" s="270">
        <f>SUM(G46:G47)</f>
        <v>5922.5795999999991</v>
      </c>
      <c r="H45" s="1210" t="s">
        <v>9</v>
      </c>
      <c r="I45" s="1211"/>
      <c r="J45" s="578">
        <f>SUM(J46:J47)</f>
        <v>5922.5796</v>
      </c>
      <c r="K45" s="636">
        <f t="shared" si="0"/>
        <v>0</v>
      </c>
    </row>
    <row r="46" spans="1:12" ht="19.95" customHeight="1">
      <c r="A46" s="1205"/>
      <c r="B46" s="1059"/>
      <c r="C46" s="780" t="s">
        <v>131</v>
      </c>
      <c r="D46" s="783">
        <f>D49+D67</f>
        <v>0</v>
      </c>
      <c r="E46" s="1186"/>
      <c r="F46" s="266" t="s">
        <v>10</v>
      </c>
      <c r="G46" s="272">
        <f>G49+G55+G58</f>
        <v>4665.6151099999997</v>
      </c>
      <c r="H46" s="1212"/>
      <c r="I46" s="1213"/>
      <c r="J46" s="633">
        <f>J49+J55</f>
        <v>4665.6151099999997</v>
      </c>
      <c r="K46" s="636">
        <f t="shared" si="0"/>
        <v>0</v>
      </c>
    </row>
    <row r="47" spans="1:12" ht="19.95" customHeight="1">
      <c r="A47" s="1206"/>
      <c r="B47" s="1060"/>
      <c r="C47" s="780" t="s">
        <v>215</v>
      </c>
      <c r="D47" s="783">
        <f>D50+D53+D68</f>
        <v>1443.9</v>
      </c>
      <c r="E47" s="1209"/>
      <c r="F47" s="266" t="s">
        <v>978</v>
      </c>
      <c r="G47" s="272">
        <f>G50+G53+G56+G59+G62+G65</f>
        <v>1256.9644899999998</v>
      </c>
      <c r="H47" s="1214"/>
      <c r="I47" s="1215"/>
      <c r="J47" s="633">
        <f>J50+J56</f>
        <v>1256.9644900000001</v>
      </c>
      <c r="K47" s="636">
        <f t="shared" si="0"/>
        <v>0</v>
      </c>
    </row>
    <row r="48" spans="1:12" ht="19.95" customHeight="1">
      <c r="A48" s="1086" t="s">
        <v>1168</v>
      </c>
      <c r="B48" s="1097" t="s">
        <v>1092</v>
      </c>
      <c r="C48" s="1216"/>
      <c r="D48" s="1217"/>
      <c r="E48" s="1042" t="s">
        <v>770</v>
      </c>
      <c r="F48" s="266" t="s">
        <v>4</v>
      </c>
      <c r="G48" s="393">
        <f>G49+G50</f>
        <v>5922.5795999999991</v>
      </c>
      <c r="H48" s="1045" t="s">
        <v>84</v>
      </c>
      <c r="I48" s="1046"/>
      <c r="J48" s="578">
        <f>J49+J50</f>
        <v>5922.5796</v>
      </c>
      <c r="K48" s="636">
        <f t="shared" si="0"/>
        <v>0</v>
      </c>
    </row>
    <row r="49" spans="1:12" ht="19.95" customHeight="1">
      <c r="A49" s="1072"/>
      <c r="B49" s="1098"/>
      <c r="C49" s="779" t="s">
        <v>131</v>
      </c>
      <c r="D49" s="273" t="s">
        <v>1169</v>
      </c>
      <c r="E49" s="1043"/>
      <c r="F49" s="274" t="s">
        <v>10</v>
      </c>
      <c r="G49" s="391">
        <f>4192.87104+472.74407</f>
        <v>4665.6151099999997</v>
      </c>
      <c r="H49" s="1047"/>
      <c r="I49" s="1048"/>
      <c r="J49" s="634">
        <v>4665.6151099999997</v>
      </c>
      <c r="K49" s="636">
        <f t="shared" si="0"/>
        <v>0</v>
      </c>
    </row>
    <row r="50" spans="1:12" ht="19.95" customHeight="1">
      <c r="A50" s="1073"/>
      <c r="B50" s="1099"/>
      <c r="C50" s="779" t="s">
        <v>215</v>
      </c>
      <c r="D50" s="273" t="s">
        <v>1162</v>
      </c>
      <c r="E50" s="1044"/>
      <c r="F50" s="437" t="s">
        <v>978</v>
      </c>
      <c r="G50" s="391">
        <f>465.87456+791.08993</f>
        <v>1256.9644899999998</v>
      </c>
      <c r="H50" s="1049"/>
      <c r="I50" s="1050"/>
      <c r="J50" s="634">
        <v>1256.9644900000001</v>
      </c>
      <c r="K50" s="636">
        <f t="shared" si="0"/>
        <v>0</v>
      </c>
    </row>
    <row r="51" spans="1:12" ht="19.95" hidden="1" customHeight="1">
      <c r="A51" s="1086"/>
      <c r="B51" s="1097"/>
      <c r="C51" s="1197"/>
      <c r="D51" s="1198"/>
      <c r="E51" s="1042"/>
      <c r="F51" s="266"/>
      <c r="G51" s="742"/>
      <c r="H51" s="1045"/>
      <c r="I51" s="1046"/>
      <c r="J51" s="634"/>
      <c r="K51" s="636"/>
    </row>
    <row r="52" spans="1:12" ht="19.95" hidden="1" customHeight="1">
      <c r="A52" s="1072"/>
      <c r="B52" s="1098"/>
      <c r="C52" s="779"/>
      <c r="D52" s="273"/>
      <c r="E52" s="1043"/>
      <c r="F52" s="274"/>
      <c r="G52" s="742"/>
      <c r="H52" s="1047"/>
      <c r="I52" s="1048"/>
      <c r="J52" s="634"/>
      <c r="K52" s="636"/>
    </row>
    <row r="53" spans="1:12" ht="19.95" hidden="1" customHeight="1">
      <c r="A53" s="1073"/>
      <c r="B53" s="1099"/>
      <c r="C53" s="779"/>
      <c r="D53" s="273"/>
      <c r="E53" s="1044"/>
      <c r="F53" s="437"/>
      <c r="G53" s="742"/>
      <c r="H53" s="1049"/>
      <c r="I53" s="1050"/>
      <c r="J53" s="634"/>
      <c r="K53" s="636"/>
    </row>
    <row r="54" spans="1:12" ht="18" hidden="1" customHeight="1">
      <c r="A54" s="1218"/>
      <c r="B54" s="1012"/>
      <c r="C54" s="1013"/>
      <c r="D54" s="1013"/>
      <c r="E54" s="839"/>
      <c r="F54" s="266"/>
      <c r="G54" s="393"/>
      <c r="H54" s="840"/>
      <c r="I54" s="840"/>
      <c r="J54" s="629"/>
    </row>
    <row r="55" spans="1:12" ht="18" hidden="1" customHeight="1">
      <c r="A55" s="1218"/>
      <c r="B55" s="1012"/>
      <c r="C55" s="779"/>
      <c r="D55" s="273"/>
      <c r="E55" s="839"/>
      <c r="F55" s="274"/>
      <c r="G55" s="391"/>
      <c r="H55" s="840"/>
      <c r="I55" s="840"/>
      <c r="J55" s="629"/>
    </row>
    <row r="56" spans="1:12" ht="18" hidden="1" customHeight="1">
      <c r="A56" s="1218"/>
      <c r="B56" s="1012"/>
      <c r="C56" s="779"/>
      <c r="D56" s="273"/>
      <c r="E56" s="839"/>
      <c r="F56" s="437"/>
      <c r="G56" s="391"/>
      <c r="H56" s="840"/>
      <c r="I56" s="840"/>
      <c r="J56" s="630"/>
    </row>
    <row r="57" spans="1:12" ht="18" hidden="1" customHeight="1">
      <c r="A57" s="1223"/>
      <c r="B57" s="1097"/>
      <c r="C57" s="779"/>
      <c r="D57" s="273"/>
      <c r="E57" s="777"/>
      <c r="F57" s="434"/>
      <c r="G57" s="742"/>
      <c r="H57" s="778"/>
      <c r="I57" s="778"/>
      <c r="J57" s="630"/>
    </row>
    <row r="58" spans="1:12" ht="18" hidden="1" customHeight="1">
      <c r="A58" s="1224"/>
      <c r="B58" s="1098"/>
      <c r="C58" s="779"/>
      <c r="D58" s="273"/>
      <c r="E58" s="777"/>
      <c r="F58" s="437"/>
      <c r="G58" s="742"/>
      <c r="H58" s="778"/>
      <c r="I58" s="778"/>
      <c r="J58" s="630"/>
    </row>
    <row r="59" spans="1:12" ht="18" hidden="1" customHeight="1">
      <c r="A59" s="1225"/>
      <c r="B59" s="1099"/>
      <c r="C59" s="779"/>
      <c r="D59" s="273"/>
      <c r="E59" s="777"/>
      <c r="F59" s="437"/>
      <c r="G59" s="742"/>
      <c r="H59" s="778"/>
      <c r="I59" s="778"/>
      <c r="J59" s="630"/>
    </row>
    <row r="60" spans="1:12" ht="18" hidden="1" customHeight="1">
      <c r="A60" s="1226"/>
      <c r="B60" s="1097"/>
      <c r="C60" s="779"/>
      <c r="D60" s="273"/>
      <c r="E60" s="777"/>
      <c r="F60" s="434"/>
      <c r="G60" s="742"/>
      <c r="H60" s="778"/>
      <c r="I60" s="778"/>
      <c r="J60" s="630"/>
    </row>
    <row r="61" spans="1:12" ht="18" hidden="1" customHeight="1">
      <c r="A61" s="1227"/>
      <c r="B61" s="1098"/>
      <c r="C61" s="779"/>
      <c r="D61" s="273"/>
      <c r="E61" s="777"/>
      <c r="F61" s="437"/>
      <c r="G61" s="742"/>
      <c r="H61" s="778"/>
      <c r="I61" s="778"/>
      <c r="J61" s="630"/>
    </row>
    <row r="62" spans="1:12" ht="17.25" hidden="1" customHeight="1">
      <c r="A62" s="1228"/>
      <c r="B62" s="1099"/>
      <c r="C62" s="779"/>
      <c r="D62" s="273"/>
      <c r="E62" s="777"/>
      <c r="F62" s="437"/>
      <c r="G62" s="742"/>
      <c r="H62" s="778"/>
      <c r="I62" s="778"/>
      <c r="J62" s="630"/>
    </row>
    <row r="63" spans="1:12" ht="18" hidden="1" customHeight="1">
      <c r="A63" s="1229"/>
      <c r="B63" s="1097"/>
      <c r="C63" s="1216"/>
      <c r="D63" s="1235"/>
      <c r="E63" s="1042"/>
      <c r="F63" s="434"/>
      <c r="G63" s="742"/>
      <c r="H63" s="1045"/>
      <c r="I63" s="1199"/>
      <c r="J63" s="630"/>
      <c r="L63" s="788"/>
    </row>
    <row r="64" spans="1:12" ht="18" hidden="1" customHeight="1">
      <c r="A64" s="1230"/>
      <c r="B64" s="1098"/>
      <c r="C64" s="779"/>
      <c r="D64" s="273"/>
      <c r="E64" s="1043"/>
      <c r="F64" s="437"/>
      <c r="G64" s="742"/>
      <c r="H64" s="1047"/>
      <c r="I64" s="1200"/>
      <c r="J64" s="630"/>
    </row>
    <row r="65" spans="1:13" ht="18" hidden="1" customHeight="1">
      <c r="A65" s="1231"/>
      <c r="B65" s="1099"/>
      <c r="C65" s="779"/>
      <c r="D65" s="273"/>
      <c r="E65" s="1044"/>
      <c r="F65" s="437"/>
      <c r="G65" s="742"/>
      <c r="H65" s="1049"/>
      <c r="I65" s="1201"/>
      <c r="J65" s="630"/>
    </row>
    <row r="66" spans="1:13" ht="18" hidden="1" customHeight="1">
      <c r="A66" s="1011"/>
      <c r="B66" s="1202" t="s">
        <v>1165</v>
      </c>
      <c r="C66" s="1013"/>
      <c r="D66" s="1013"/>
      <c r="E66" s="839"/>
      <c r="F66" s="266"/>
      <c r="G66" s="393"/>
      <c r="H66" s="840"/>
      <c r="I66" s="840"/>
      <c r="J66" s="629"/>
    </row>
    <row r="67" spans="1:13" ht="18" hidden="1" customHeight="1">
      <c r="A67" s="1011"/>
      <c r="B67" s="1012"/>
      <c r="C67" s="779"/>
      <c r="D67" s="273"/>
      <c r="E67" s="839"/>
      <c r="F67" s="274"/>
      <c r="G67" s="391"/>
      <c r="H67" s="840"/>
      <c r="I67" s="840"/>
    </row>
    <row r="68" spans="1:13" ht="18" hidden="1" customHeight="1">
      <c r="A68" s="1011"/>
      <c r="B68" s="1012"/>
      <c r="C68" s="779"/>
      <c r="D68" s="273"/>
      <c r="E68" s="839"/>
      <c r="F68" s="437"/>
      <c r="G68" s="391"/>
      <c r="H68" s="840"/>
      <c r="I68" s="840"/>
      <c r="J68" s="631" t="s">
        <v>1019</v>
      </c>
    </row>
    <row r="69" spans="1:13" ht="15.75" customHeight="1">
      <c r="A69" s="1055">
        <v>2</v>
      </c>
      <c r="B69" s="1203" t="s">
        <v>670</v>
      </c>
      <c r="C69" s="1061" t="s">
        <v>9</v>
      </c>
      <c r="D69" s="1064" t="s">
        <v>9</v>
      </c>
      <c r="E69" s="839" t="s">
        <v>770</v>
      </c>
      <c r="F69" s="266" t="s">
        <v>4</v>
      </c>
      <c r="G69" s="270">
        <f>SUM(G70:G71)</f>
        <v>12781.336860000001</v>
      </c>
      <c r="H69" s="1039" t="s">
        <v>9</v>
      </c>
      <c r="I69" s="1039"/>
      <c r="J69" s="627"/>
    </row>
    <row r="70" spans="1:13" ht="15.75" customHeight="1">
      <c r="A70" s="1056"/>
      <c r="B70" s="1203"/>
      <c r="C70" s="1062"/>
      <c r="D70" s="1065"/>
      <c r="E70" s="839"/>
      <c r="F70" s="266" t="s">
        <v>10</v>
      </c>
      <c r="G70" s="270">
        <f>G73+G79+G145+G169+G178+G181</f>
        <v>0</v>
      </c>
      <c r="H70" s="1039"/>
      <c r="I70" s="1039"/>
      <c r="J70" s="579"/>
    </row>
    <row r="71" spans="1:13" ht="15.75" customHeight="1">
      <c r="A71" s="1056"/>
      <c r="B71" s="1203"/>
      <c r="C71" s="1062"/>
      <c r="D71" s="1065"/>
      <c r="E71" s="839"/>
      <c r="F71" s="266" t="s">
        <v>978</v>
      </c>
      <c r="G71" s="311">
        <f>G74+G80+G146+G170+G179+G182</f>
        <v>12781.336860000001</v>
      </c>
      <c r="H71" s="1039"/>
      <c r="I71" s="1039"/>
      <c r="J71" s="579"/>
      <c r="L71" s="746"/>
      <c r="M71" s="743"/>
    </row>
    <row r="72" spans="1:13" ht="16.95" customHeight="1">
      <c r="A72" s="1219" t="s">
        <v>366</v>
      </c>
      <c r="B72" s="1068" t="s">
        <v>672</v>
      </c>
      <c r="C72" s="1081" t="s">
        <v>43</v>
      </c>
      <c r="D72" s="1221">
        <v>2</v>
      </c>
      <c r="E72" s="1042" t="s">
        <v>770</v>
      </c>
      <c r="F72" s="274" t="s">
        <v>4</v>
      </c>
      <c r="G72" s="276">
        <f>G73+G74</f>
        <v>6055.4166599999999</v>
      </c>
      <c r="H72" s="1033" t="s">
        <v>87</v>
      </c>
      <c r="I72" s="1033"/>
      <c r="M72" s="745"/>
    </row>
    <row r="73" spans="1:13" ht="16.95" customHeight="1">
      <c r="A73" s="1220"/>
      <c r="B73" s="1069"/>
      <c r="C73" s="1077"/>
      <c r="D73" s="1222"/>
      <c r="E73" s="1043"/>
      <c r="F73" s="274" t="s">
        <v>10</v>
      </c>
      <c r="G73" s="276">
        <f>G76</f>
        <v>0</v>
      </c>
      <c r="H73" s="1033"/>
      <c r="I73" s="1033"/>
    </row>
    <row r="74" spans="1:13" ht="16.95" customHeight="1">
      <c r="A74" s="1220"/>
      <c r="B74" s="1069"/>
      <c r="C74" s="1077"/>
      <c r="D74" s="1222"/>
      <c r="E74" s="1043"/>
      <c r="F74" s="274" t="s">
        <v>978</v>
      </c>
      <c r="G74" s="276">
        <v>6055.4166599999999</v>
      </c>
      <c r="H74" s="1033"/>
      <c r="I74" s="1033"/>
    </row>
    <row r="75" spans="1:13" ht="15" hidden="1" customHeight="1">
      <c r="A75" s="1011" t="s">
        <v>169</v>
      </c>
      <c r="B75" s="1098"/>
      <c r="C75" s="1026" t="s">
        <v>43</v>
      </c>
      <c r="D75" s="1026"/>
      <c r="E75" s="1183" t="s">
        <v>579</v>
      </c>
      <c r="F75" s="266" t="s">
        <v>4</v>
      </c>
      <c r="G75" s="270">
        <f>G76+G77</f>
        <v>0</v>
      </c>
      <c r="H75" s="1039"/>
      <c r="I75" s="1039"/>
    </row>
    <row r="76" spans="1:13" ht="15" hidden="1" customHeight="1">
      <c r="A76" s="1011"/>
      <c r="B76" s="1098"/>
      <c r="C76" s="1026"/>
      <c r="D76" s="1026"/>
      <c r="E76" s="1183"/>
      <c r="F76" s="266" t="s">
        <v>10</v>
      </c>
      <c r="G76" s="272"/>
      <c r="H76" s="1039"/>
      <c r="I76" s="1039"/>
    </row>
    <row r="77" spans="1:13" ht="15" hidden="1" customHeight="1">
      <c r="A77" s="1011"/>
      <c r="B77" s="1099"/>
      <c r="C77" s="1026"/>
      <c r="D77" s="1026"/>
      <c r="E77" s="1183"/>
      <c r="F77" s="266" t="s">
        <v>11</v>
      </c>
      <c r="G77" s="270"/>
      <c r="H77" s="1039"/>
      <c r="I77" s="1039"/>
    </row>
    <row r="78" spans="1:13" ht="27" customHeight="1">
      <c r="A78" s="1232" t="s">
        <v>544</v>
      </c>
      <c r="B78" s="1012" t="s">
        <v>952</v>
      </c>
      <c r="C78" s="1081" t="s">
        <v>73</v>
      </c>
      <c r="D78" s="1233">
        <f>D81+D84+D102+D105+D123+D126+D129+D132+D135+D138+D141</f>
        <v>3.7760000000000002</v>
      </c>
      <c r="E78" s="839" t="s">
        <v>770</v>
      </c>
      <c r="F78" s="266" t="s">
        <v>4</v>
      </c>
      <c r="G78" s="270">
        <f>SUM(G79:G80)</f>
        <v>3589.6401999999998</v>
      </c>
      <c r="H78" s="840" t="s">
        <v>84</v>
      </c>
      <c r="I78" s="840"/>
    </row>
    <row r="79" spans="1:13" ht="27" customHeight="1">
      <c r="A79" s="1232"/>
      <c r="B79" s="1012"/>
      <c r="C79" s="1077"/>
      <c r="D79" s="1234"/>
      <c r="E79" s="839"/>
      <c r="F79" s="274" t="s">
        <v>10</v>
      </c>
      <c r="G79" s="276">
        <f>G82+G94</f>
        <v>0</v>
      </c>
      <c r="H79" s="840"/>
      <c r="I79" s="840"/>
    </row>
    <row r="80" spans="1:13" ht="27" customHeight="1">
      <c r="A80" s="1232"/>
      <c r="B80" s="1012"/>
      <c r="C80" s="1077"/>
      <c r="D80" s="1234"/>
      <c r="E80" s="839"/>
      <c r="F80" s="274" t="s">
        <v>978</v>
      </c>
      <c r="G80" s="276">
        <f>G83+G86+G89+G92+G95+G98+G101+G104+G107+G110+G113+G116+G119+G122+G125+G128+G131+G134+G135+G138+G141</f>
        <v>3589.6401999999998</v>
      </c>
      <c r="H80" s="840"/>
      <c r="I80" s="840"/>
      <c r="J80" s="580"/>
    </row>
    <row r="81" spans="1:12" ht="15" customHeight="1">
      <c r="A81" s="1011" t="s">
        <v>958</v>
      </c>
      <c r="B81" s="1138" t="s">
        <v>1123</v>
      </c>
      <c r="C81" s="839" t="s">
        <v>73</v>
      </c>
      <c r="D81" s="839">
        <v>9.6000000000000002E-2</v>
      </c>
      <c r="E81" s="839" t="s">
        <v>770</v>
      </c>
      <c r="F81" s="266" t="s">
        <v>4</v>
      </c>
      <c r="G81" s="393">
        <f>SUM(G82:G83)</f>
        <v>209.74199999999999</v>
      </c>
      <c r="H81" s="840" t="s">
        <v>84</v>
      </c>
      <c r="I81" s="840"/>
    </row>
    <row r="82" spans="1:12" ht="15" customHeight="1">
      <c r="A82" s="1011"/>
      <c r="B82" s="1184"/>
      <c r="C82" s="839"/>
      <c r="D82" s="839"/>
      <c r="E82" s="839"/>
      <c r="F82" s="274" t="s">
        <v>10</v>
      </c>
      <c r="G82" s="391">
        <v>0</v>
      </c>
      <c r="H82" s="840"/>
      <c r="I82" s="840"/>
    </row>
    <row r="83" spans="1:12" ht="15" customHeight="1">
      <c r="A83" s="1011"/>
      <c r="B83" s="1184"/>
      <c r="C83" s="839"/>
      <c r="D83" s="839"/>
      <c r="E83" s="839"/>
      <c r="F83" s="274" t="s">
        <v>978</v>
      </c>
      <c r="G83" s="391">
        <v>209.74199999999999</v>
      </c>
      <c r="H83" s="840"/>
      <c r="I83" s="840"/>
    </row>
    <row r="84" spans="1:12" ht="15" customHeight="1">
      <c r="A84" s="1011" t="s">
        <v>960</v>
      </c>
      <c r="B84" s="1138" t="s">
        <v>1124</v>
      </c>
      <c r="C84" s="839" t="s">
        <v>73</v>
      </c>
      <c r="D84" s="839">
        <v>0.46200000000000002</v>
      </c>
      <c r="E84" s="839" t="s">
        <v>770</v>
      </c>
      <c r="F84" s="266" t="s">
        <v>4</v>
      </c>
      <c r="G84" s="393">
        <f>SUM(G85:G86)</f>
        <v>292.42899999999997</v>
      </c>
      <c r="H84" s="840" t="s">
        <v>84</v>
      </c>
      <c r="I84" s="840"/>
      <c r="L84" s="789"/>
    </row>
    <row r="85" spans="1:12" ht="15" customHeight="1">
      <c r="A85" s="1011"/>
      <c r="B85" s="1184"/>
      <c r="C85" s="839"/>
      <c r="D85" s="839"/>
      <c r="E85" s="839"/>
      <c r="F85" s="274" t="s">
        <v>10</v>
      </c>
      <c r="G85" s="391">
        <v>0</v>
      </c>
      <c r="H85" s="840"/>
      <c r="I85" s="840"/>
    </row>
    <row r="86" spans="1:12" ht="15" customHeight="1">
      <c r="A86" s="1011"/>
      <c r="B86" s="1184"/>
      <c r="C86" s="839"/>
      <c r="D86" s="839"/>
      <c r="E86" s="839"/>
      <c r="F86" s="274" t="s">
        <v>978</v>
      </c>
      <c r="G86" s="391">
        <v>292.42899999999997</v>
      </c>
      <c r="H86" s="840"/>
      <c r="I86" s="840"/>
    </row>
    <row r="87" spans="1:12" ht="15" customHeight="1">
      <c r="A87" s="1011" t="s">
        <v>993</v>
      </c>
      <c r="B87" s="1138" t="s">
        <v>1125</v>
      </c>
      <c r="C87" s="839" t="s">
        <v>932</v>
      </c>
      <c r="D87" s="839">
        <v>1</v>
      </c>
      <c r="E87" s="839" t="s">
        <v>770</v>
      </c>
      <c r="F87" s="266" t="s">
        <v>4</v>
      </c>
      <c r="G87" s="393">
        <f t="shared" ref="G87" si="1">SUM(G88:G89)</f>
        <v>0.55000000000000004</v>
      </c>
      <c r="H87" s="840" t="s">
        <v>84</v>
      </c>
      <c r="I87" s="840"/>
    </row>
    <row r="88" spans="1:12" ht="15" customHeight="1">
      <c r="A88" s="1011"/>
      <c r="B88" s="1184"/>
      <c r="C88" s="839"/>
      <c r="D88" s="839"/>
      <c r="E88" s="839"/>
      <c r="F88" s="274" t="s">
        <v>10</v>
      </c>
      <c r="G88" s="391">
        <v>0</v>
      </c>
      <c r="H88" s="840"/>
      <c r="I88" s="840"/>
    </row>
    <row r="89" spans="1:12" ht="15" customHeight="1">
      <c r="A89" s="1011"/>
      <c r="B89" s="1184"/>
      <c r="C89" s="839"/>
      <c r="D89" s="839"/>
      <c r="E89" s="839"/>
      <c r="F89" s="274" t="s">
        <v>978</v>
      </c>
      <c r="G89" s="391">
        <v>0.55000000000000004</v>
      </c>
      <c r="H89" s="840"/>
      <c r="I89" s="840"/>
    </row>
    <row r="90" spans="1:12" ht="15" customHeight="1">
      <c r="A90" s="1011" t="s">
        <v>994</v>
      </c>
      <c r="B90" s="1138" t="s">
        <v>1126</v>
      </c>
      <c r="C90" s="839" t="s">
        <v>932</v>
      </c>
      <c r="D90" s="839">
        <v>1</v>
      </c>
      <c r="E90" s="839" t="s">
        <v>770</v>
      </c>
      <c r="F90" s="266" t="s">
        <v>4</v>
      </c>
      <c r="G90" s="393">
        <f t="shared" ref="G90" si="2">SUM(G91:G92)</f>
        <v>72.004800000000003</v>
      </c>
      <c r="H90" s="840" t="s">
        <v>84</v>
      </c>
      <c r="I90" s="840"/>
    </row>
    <row r="91" spans="1:12" ht="15" customHeight="1">
      <c r="A91" s="1011"/>
      <c r="B91" s="1184"/>
      <c r="C91" s="839"/>
      <c r="D91" s="839"/>
      <c r="E91" s="839"/>
      <c r="F91" s="274" t="s">
        <v>10</v>
      </c>
      <c r="G91" s="391">
        <v>0</v>
      </c>
      <c r="H91" s="840"/>
      <c r="I91" s="840"/>
    </row>
    <row r="92" spans="1:12" ht="15" customHeight="1">
      <c r="A92" s="1011"/>
      <c r="B92" s="1184"/>
      <c r="C92" s="839"/>
      <c r="D92" s="839"/>
      <c r="E92" s="839"/>
      <c r="F92" s="274" t="s">
        <v>978</v>
      </c>
      <c r="G92" s="391">
        <v>72.004800000000003</v>
      </c>
      <c r="H92" s="840"/>
      <c r="I92" s="840"/>
    </row>
    <row r="93" spans="1:12" ht="13.95" customHeight="1">
      <c r="A93" s="1011" t="s">
        <v>995</v>
      </c>
      <c r="B93" s="1138" t="s">
        <v>1127</v>
      </c>
      <c r="C93" s="1042" t="s">
        <v>932</v>
      </c>
      <c r="D93" s="839">
        <v>1</v>
      </c>
      <c r="E93" s="839" t="s">
        <v>770</v>
      </c>
      <c r="F93" s="266" t="s">
        <v>4</v>
      </c>
      <c r="G93" s="393">
        <f>SUM(G94:G95)</f>
        <v>72.004800000000003</v>
      </c>
      <c r="H93" s="840" t="s">
        <v>84</v>
      </c>
      <c r="I93" s="840"/>
    </row>
    <row r="94" spans="1:12" ht="13.95" customHeight="1">
      <c r="A94" s="1011"/>
      <c r="B94" s="1184"/>
      <c r="C94" s="1043"/>
      <c r="D94" s="839"/>
      <c r="E94" s="839"/>
      <c r="F94" s="274" t="s">
        <v>10</v>
      </c>
      <c r="G94" s="391">
        <v>0</v>
      </c>
      <c r="H94" s="840"/>
      <c r="I94" s="840"/>
    </row>
    <row r="95" spans="1:12" ht="13.95" customHeight="1">
      <c r="A95" s="1011"/>
      <c r="B95" s="1184"/>
      <c r="C95" s="1044"/>
      <c r="D95" s="839"/>
      <c r="E95" s="839"/>
      <c r="F95" s="274" t="s">
        <v>978</v>
      </c>
      <c r="G95" s="391">
        <v>72.004800000000003</v>
      </c>
      <c r="H95" s="840"/>
      <c r="I95" s="840"/>
    </row>
    <row r="96" spans="1:12" ht="15" customHeight="1">
      <c r="A96" s="1011" t="s">
        <v>1030</v>
      </c>
      <c r="B96" s="1184" t="s">
        <v>1128</v>
      </c>
      <c r="C96" s="1043" t="s">
        <v>932</v>
      </c>
      <c r="D96" s="839">
        <v>1</v>
      </c>
      <c r="E96" s="839" t="s">
        <v>770</v>
      </c>
      <c r="F96" s="266" t="s">
        <v>4</v>
      </c>
      <c r="G96" s="393">
        <f>SUM(G97:G98)</f>
        <v>72.004800000000003</v>
      </c>
      <c r="H96" s="840" t="s">
        <v>84</v>
      </c>
      <c r="I96" s="840"/>
    </row>
    <row r="97" spans="1:9" ht="15" customHeight="1">
      <c r="A97" s="1011"/>
      <c r="B97" s="1184"/>
      <c r="C97" s="1043"/>
      <c r="D97" s="839"/>
      <c r="E97" s="839"/>
      <c r="F97" s="274" t="s">
        <v>10</v>
      </c>
      <c r="G97" s="391"/>
      <c r="H97" s="840"/>
      <c r="I97" s="840"/>
    </row>
    <row r="98" spans="1:9" ht="15" customHeight="1">
      <c r="A98" s="1011"/>
      <c r="B98" s="1184"/>
      <c r="C98" s="1044"/>
      <c r="D98" s="839"/>
      <c r="E98" s="839"/>
      <c r="F98" s="274" t="s">
        <v>11</v>
      </c>
      <c r="G98" s="391">
        <v>72.004800000000003</v>
      </c>
      <c r="H98" s="840"/>
      <c r="I98" s="840"/>
    </row>
    <row r="99" spans="1:9" ht="15" customHeight="1">
      <c r="A99" s="1011" t="s">
        <v>1112</v>
      </c>
      <c r="B99" s="1184" t="s">
        <v>1130</v>
      </c>
      <c r="C99" s="1043" t="s">
        <v>932</v>
      </c>
      <c r="D99" s="839">
        <v>1</v>
      </c>
      <c r="E99" s="839" t="s">
        <v>770</v>
      </c>
      <c r="F99" s="266" t="s">
        <v>4</v>
      </c>
      <c r="G99" s="393">
        <f>SUM(G100:G101)</f>
        <v>72.004800000000003</v>
      </c>
      <c r="H99" s="840" t="s">
        <v>84</v>
      </c>
      <c r="I99" s="840"/>
    </row>
    <row r="100" spans="1:9" ht="15" customHeight="1">
      <c r="A100" s="1011"/>
      <c r="B100" s="1184"/>
      <c r="C100" s="1043"/>
      <c r="D100" s="839"/>
      <c r="E100" s="839"/>
      <c r="F100" s="274" t="s">
        <v>10</v>
      </c>
      <c r="G100" s="391"/>
      <c r="H100" s="840"/>
      <c r="I100" s="840"/>
    </row>
    <row r="101" spans="1:9" ht="15" customHeight="1">
      <c r="A101" s="1011"/>
      <c r="B101" s="1184"/>
      <c r="C101" s="1044"/>
      <c r="D101" s="839"/>
      <c r="E101" s="839"/>
      <c r="F101" s="274" t="s">
        <v>11</v>
      </c>
      <c r="G101" s="391">
        <v>72.004800000000003</v>
      </c>
      <c r="H101" s="840"/>
      <c r="I101" s="840"/>
    </row>
    <row r="102" spans="1:9" ht="15" customHeight="1">
      <c r="A102" s="1011" t="s">
        <v>1035</v>
      </c>
      <c r="B102" s="1184" t="s">
        <v>1129</v>
      </c>
      <c r="C102" s="1043" t="s">
        <v>73</v>
      </c>
      <c r="D102" s="839">
        <v>0.16500000000000001</v>
      </c>
      <c r="E102" s="839" t="s">
        <v>770</v>
      </c>
      <c r="F102" s="266" t="s">
        <v>4</v>
      </c>
      <c r="G102" s="393">
        <f>SUM(G103:G104)</f>
        <v>276.99700000000001</v>
      </c>
      <c r="H102" s="840" t="s">
        <v>84</v>
      </c>
      <c r="I102" s="840"/>
    </row>
    <row r="103" spans="1:9" ht="15" customHeight="1">
      <c r="A103" s="1011"/>
      <c r="B103" s="1184"/>
      <c r="C103" s="1043"/>
      <c r="D103" s="839"/>
      <c r="E103" s="839"/>
      <c r="F103" s="274" t="s">
        <v>10</v>
      </c>
      <c r="G103" s="391"/>
      <c r="H103" s="840"/>
      <c r="I103" s="840"/>
    </row>
    <row r="104" spans="1:9" ht="15" customHeight="1">
      <c r="A104" s="1011"/>
      <c r="B104" s="1184"/>
      <c r="C104" s="1044"/>
      <c r="D104" s="839"/>
      <c r="E104" s="839"/>
      <c r="F104" s="274" t="s">
        <v>11</v>
      </c>
      <c r="G104" s="392">
        <v>276.99700000000001</v>
      </c>
      <c r="H104" s="840"/>
      <c r="I104" s="840"/>
    </row>
    <row r="105" spans="1:9" ht="18.600000000000001" customHeight="1">
      <c r="A105" s="1011" t="s">
        <v>1037</v>
      </c>
      <c r="B105" s="1184" t="s">
        <v>1131</v>
      </c>
      <c r="C105" s="1043" t="s">
        <v>73</v>
      </c>
      <c r="D105" s="839">
        <v>0.17</v>
      </c>
      <c r="E105" s="839" t="s">
        <v>770</v>
      </c>
      <c r="F105" s="266" t="s">
        <v>4</v>
      </c>
      <c r="G105" s="393">
        <f>SUM(G106:G107)</f>
        <v>191.946</v>
      </c>
      <c r="H105" s="840" t="s">
        <v>84</v>
      </c>
      <c r="I105" s="840"/>
    </row>
    <row r="106" spans="1:9" ht="15" customHeight="1">
      <c r="A106" s="1011"/>
      <c r="B106" s="1184"/>
      <c r="C106" s="1043"/>
      <c r="D106" s="839"/>
      <c r="E106" s="839"/>
      <c r="F106" s="274" t="s">
        <v>10</v>
      </c>
      <c r="G106" s="391"/>
      <c r="H106" s="840"/>
      <c r="I106" s="840"/>
    </row>
    <row r="107" spans="1:9" ht="15" customHeight="1">
      <c r="A107" s="1011"/>
      <c r="B107" s="1184"/>
      <c r="C107" s="1044"/>
      <c r="D107" s="1042"/>
      <c r="E107" s="839"/>
      <c r="F107" s="274" t="s">
        <v>11</v>
      </c>
      <c r="G107" s="392">
        <v>191.946</v>
      </c>
      <c r="H107" s="840"/>
      <c r="I107" s="840"/>
    </row>
    <row r="108" spans="1:9" ht="19.2" customHeight="1">
      <c r="A108" s="1011" t="s">
        <v>1113</v>
      </c>
      <c r="B108" s="1184" t="s">
        <v>1132</v>
      </c>
      <c r="C108" s="1043" t="s">
        <v>932</v>
      </c>
      <c r="D108" s="839">
        <v>1</v>
      </c>
      <c r="E108" s="839" t="s">
        <v>770</v>
      </c>
      <c r="F108" s="266" t="s">
        <v>4</v>
      </c>
      <c r="G108" s="393">
        <f>SUM(G109:G110)</f>
        <v>72.004800000000003</v>
      </c>
      <c r="H108" s="840" t="s">
        <v>84</v>
      </c>
      <c r="I108" s="840"/>
    </row>
    <row r="109" spans="1:9" ht="15" customHeight="1">
      <c r="A109" s="1011"/>
      <c r="B109" s="1184"/>
      <c r="C109" s="1043"/>
      <c r="D109" s="839"/>
      <c r="E109" s="839"/>
      <c r="F109" s="274" t="s">
        <v>10</v>
      </c>
      <c r="G109" s="391"/>
      <c r="H109" s="840"/>
      <c r="I109" s="840"/>
    </row>
    <row r="110" spans="1:9" ht="15" customHeight="1">
      <c r="A110" s="1011"/>
      <c r="B110" s="1184"/>
      <c r="C110" s="1044"/>
      <c r="D110" s="1042"/>
      <c r="E110" s="839"/>
      <c r="F110" s="274" t="s">
        <v>11</v>
      </c>
      <c r="G110" s="392">
        <v>72.004800000000003</v>
      </c>
      <c r="H110" s="840"/>
      <c r="I110" s="840"/>
    </row>
    <row r="111" spans="1:9" ht="15" customHeight="1">
      <c r="A111" s="1011" t="s">
        <v>1114</v>
      </c>
      <c r="B111" s="1184" t="s">
        <v>1133</v>
      </c>
      <c r="C111" s="1043" t="s">
        <v>932</v>
      </c>
      <c r="D111" s="839">
        <v>1</v>
      </c>
      <c r="E111" s="839" t="s">
        <v>770</v>
      </c>
      <c r="F111" s="266" t="s">
        <v>4</v>
      </c>
      <c r="G111" s="393">
        <f>SUM(G112:G113)</f>
        <v>72.004800000000003</v>
      </c>
      <c r="H111" s="840" t="s">
        <v>84</v>
      </c>
      <c r="I111" s="840"/>
    </row>
    <row r="112" spans="1:9" ht="15" customHeight="1">
      <c r="A112" s="1011"/>
      <c r="B112" s="1184"/>
      <c r="C112" s="1043"/>
      <c r="D112" s="839"/>
      <c r="E112" s="839"/>
      <c r="F112" s="274" t="s">
        <v>10</v>
      </c>
      <c r="G112" s="391"/>
      <c r="H112" s="840"/>
      <c r="I112" s="840"/>
    </row>
    <row r="113" spans="1:12" ht="15" customHeight="1">
      <c r="A113" s="1011"/>
      <c r="B113" s="1184"/>
      <c r="C113" s="1044"/>
      <c r="D113" s="1042"/>
      <c r="E113" s="839"/>
      <c r="F113" s="274" t="s">
        <v>11</v>
      </c>
      <c r="G113" s="392">
        <v>72.004800000000003</v>
      </c>
      <c r="H113" s="840"/>
      <c r="I113" s="840"/>
    </row>
    <row r="114" spans="1:12" ht="15" customHeight="1">
      <c r="A114" s="1011" t="s">
        <v>1115</v>
      </c>
      <c r="B114" s="1184" t="s">
        <v>1134</v>
      </c>
      <c r="C114" s="1043" t="s">
        <v>932</v>
      </c>
      <c r="D114" s="839">
        <v>1</v>
      </c>
      <c r="E114" s="839" t="s">
        <v>770</v>
      </c>
      <c r="F114" s="266" t="s">
        <v>4</v>
      </c>
      <c r="G114" s="393">
        <f>SUM(G115:G116)</f>
        <v>72.004800000000003</v>
      </c>
      <c r="H114" s="840" t="s">
        <v>84</v>
      </c>
      <c r="I114" s="840"/>
    </row>
    <row r="115" spans="1:12" ht="15" customHeight="1">
      <c r="A115" s="1011"/>
      <c r="B115" s="1184"/>
      <c r="C115" s="1043"/>
      <c r="D115" s="839"/>
      <c r="E115" s="839"/>
      <c r="F115" s="274" t="s">
        <v>10</v>
      </c>
      <c r="G115" s="391"/>
      <c r="H115" s="840"/>
      <c r="I115" s="840"/>
    </row>
    <row r="116" spans="1:12" ht="15" customHeight="1">
      <c r="A116" s="1011"/>
      <c r="B116" s="1184"/>
      <c r="C116" s="1044"/>
      <c r="D116" s="1042"/>
      <c r="E116" s="839"/>
      <c r="F116" s="274" t="s">
        <v>11</v>
      </c>
      <c r="G116" s="392">
        <v>72.004800000000003</v>
      </c>
      <c r="H116" s="840"/>
      <c r="I116" s="840"/>
    </row>
    <row r="117" spans="1:12" ht="15" customHeight="1">
      <c r="A117" s="1011" t="s">
        <v>1116</v>
      </c>
      <c r="B117" s="1184" t="s">
        <v>1135</v>
      </c>
      <c r="C117" s="1043" t="s">
        <v>932</v>
      </c>
      <c r="D117" s="839">
        <v>1</v>
      </c>
      <c r="E117" s="839" t="s">
        <v>770</v>
      </c>
      <c r="F117" s="266" t="s">
        <v>4</v>
      </c>
      <c r="G117" s="393">
        <f>SUM(G118:G119)</f>
        <v>72.004800000000003</v>
      </c>
      <c r="H117" s="840" t="s">
        <v>84</v>
      </c>
      <c r="I117" s="840"/>
    </row>
    <row r="118" spans="1:12" ht="15" customHeight="1">
      <c r="A118" s="1011"/>
      <c r="B118" s="1184"/>
      <c r="C118" s="1043"/>
      <c r="D118" s="839"/>
      <c r="E118" s="839"/>
      <c r="F118" s="274" t="s">
        <v>10</v>
      </c>
      <c r="G118" s="391"/>
      <c r="H118" s="840"/>
      <c r="I118" s="840"/>
    </row>
    <row r="119" spans="1:12" ht="15" customHeight="1">
      <c r="A119" s="1011"/>
      <c r="B119" s="1184"/>
      <c r="C119" s="1044"/>
      <c r="D119" s="1042"/>
      <c r="E119" s="839"/>
      <c r="F119" s="274" t="s">
        <v>11</v>
      </c>
      <c r="G119" s="392">
        <v>72.004800000000003</v>
      </c>
      <c r="H119" s="840"/>
      <c r="I119" s="840"/>
    </row>
    <row r="120" spans="1:12" ht="15" customHeight="1">
      <c r="A120" s="1011" t="s">
        <v>1117</v>
      </c>
      <c r="B120" s="1184" t="s">
        <v>1136</v>
      </c>
      <c r="C120" s="1043" t="s">
        <v>932</v>
      </c>
      <c r="D120" s="839">
        <v>1</v>
      </c>
      <c r="E120" s="839" t="s">
        <v>770</v>
      </c>
      <c r="F120" s="266" t="s">
        <v>4</v>
      </c>
      <c r="G120" s="393">
        <f>SUM(G121:G122)</f>
        <v>72.004800000000003</v>
      </c>
      <c r="H120" s="840" t="s">
        <v>84</v>
      </c>
      <c r="I120" s="840"/>
    </row>
    <row r="121" spans="1:12" ht="15" customHeight="1">
      <c r="A121" s="1011"/>
      <c r="B121" s="1184"/>
      <c r="C121" s="1043"/>
      <c r="D121" s="839"/>
      <c r="E121" s="839"/>
      <c r="F121" s="274" t="s">
        <v>10</v>
      </c>
      <c r="G121" s="391"/>
      <c r="H121" s="840"/>
      <c r="I121" s="840"/>
    </row>
    <row r="122" spans="1:12" ht="15" customHeight="1">
      <c r="A122" s="1011"/>
      <c r="B122" s="1184"/>
      <c r="C122" s="1044"/>
      <c r="D122" s="1042"/>
      <c r="E122" s="839"/>
      <c r="F122" s="274" t="s">
        <v>11</v>
      </c>
      <c r="G122" s="392">
        <v>72.004800000000003</v>
      </c>
      <c r="H122" s="840"/>
      <c r="I122" s="840"/>
    </row>
    <row r="123" spans="1:12" ht="15" customHeight="1">
      <c r="A123" s="1011" t="s">
        <v>1118</v>
      </c>
      <c r="B123" s="1184" t="s">
        <v>1137</v>
      </c>
      <c r="C123" s="1043" t="s">
        <v>73</v>
      </c>
      <c r="D123" s="839">
        <v>0.81599999999999995</v>
      </c>
      <c r="E123" s="839" t="s">
        <v>770</v>
      </c>
      <c r="F123" s="266" t="s">
        <v>4</v>
      </c>
      <c r="G123" s="393">
        <f>SUM(G124:G125)</f>
        <v>140.80699999999999</v>
      </c>
      <c r="H123" s="840" t="s">
        <v>84</v>
      </c>
      <c r="I123" s="840"/>
    </row>
    <row r="124" spans="1:12" ht="15" customHeight="1">
      <c r="A124" s="1011"/>
      <c r="B124" s="1184"/>
      <c r="C124" s="1043"/>
      <c r="D124" s="839"/>
      <c r="E124" s="839"/>
      <c r="F124" s="274" t="s">
        <v>10</v>
      </c>
      <c r="G124" s="391"/>
      <c r="H124" s="840"/>
      <c r="I124" s="840"/>
    </row>
    <row r="125" spans="1:12" ht="15" customHeight="1">
      <c r="A125" s="1011"/>
      <c r="B125" s="1184"/>
      <c r="C125" s="1044"/>
      <c r="D125" s="1042"/>
      <c r="E125" s="839"/>
      <c r="F125" s="274" t="s">
        <v>11</v>
      </c>
      <c r="G125" s="392">
        <v>140.80699999999999</v>
      </c>
      <c r="H125" s="840"/>
      <c r="I125" s="840"/>
    </row>
    <row r="126" spans="1:12" ht="15" customHeight="1">
      <c r="A126" s="1011" t="s">
        <v>1119</v>
      </c>
      <c r="B126" s="1184" t="s">
        <v>1138</v>
      </c>
      <c r="C126" s="1043" t="s">
        <v>73</v>
      </c>
      <c r="D126" s="839">
        <v>0.23</v>
      </c>
      <c r="E126" s="839" t="s">
        <v>770</v>
      </c>
      <c r="F126" s="266" t="s">
        <v>4</v>
      </c>
      <c r="G126" s="393">
        <f>SUM(G127:G128)</f>
        <v>207.79300000000001</v>
      </c>
      <c r="H126" s="840" t="s">
        <v>84</v>
      </c>
      <c r="I126" s="840"/>
    </row>
    <row r="127" spans="1:12" ht="15" customHeight="1">
      <c r="A127" s="1011"/>
      <c r="B127" s="1184"/>
      <c r="C127" s="1043"/>
      <c r="D127" s="839"/>
      <c r="E127" s="839"/>
      <c r="F127" s="274" t="s">
        <v>10</v>
      </c>
      <c r="G127" s="391"/>
      <c r="H127" s="840"/>
      <c r="I127" s="840"/>
    </row>
    <row r="128" spans="1:12" ht="15" customHeight="1">
      <c r="A128" s="1011"/>
      <c r="B128" s="1184"/>
      <c r="C128" s="1044"/>
      <c r="D128" s="1042"/>
      <c r="E128" s="839"/>
      <c r="F128" s="274" t="s">
        <v>11</v>
      </c>
      <c r="G128" s="392">
        <v>207.79300000000001</v>
      </c>
      <c r="H128" s="840"/>
      <c r="I128" s="840"/>
      <c r="L128" s="435"/>
    </row>
    <row r="129" spans="1:14" ht="15" customHeight="1">
      <c r="A129" s="1011" t="s">
        <v>1120</v>
      </c>
      <c r="B129" s="1184" t="s">
        <v>1124</v>
      </c>
      <c r="C129" s="1043" t="s">
        <v>73</v>
      </c>
      <c r="D129" s="839">
        <v>9.5000000000000001E-2</v>
      </c>
      <c r="E129" s="839" t="s">
        <v>770</v>
      </c>
      <c r="F129" s="266" t="s">
        <v>4</v>
      </c>
      <c r="G129" s="393">
        <f>SUM(G130:G131)</f>
        <v>107.571</v>
      </c>
      <c r="H129" s="840" t="s">
        <v>84</v>
      </c>
      <c r="I129" s="840"/>
    </row>
    <row r="130" spans="1:14" ht="15" customHeight="1">
      <c r="A130" s="1011"/>
      <c r="B130" s="1184"/>
      <c r="C130" s="1043"/>
      <c r="D130" s="839"/>
      <c r="E130" s="839"/>
      <c r="F130" s="274" t="s">
        <v>10</v>
      </c>
      <c r="G130" s="391"/>
      <c r="H130" s="840"/>
      <c r="I130" s="840"/>
    </row>
    <row r="131" spans="1:14" ht="15" customHeight="1">
      <c r="A131" s="1011"/>
      <c r="B131" s="1184"/>
      <c r="C131" s="1044"/>
      <c r="D131" s="1042"/>
      <c r="E131" s="839"/>
      <c r="F131" s="274" t="s">
        <v>11</v>
      </c>
      <c r="G131" s="392">
        <v>107.571</v>
      </c>
      <c r="H131" s="840"/>
      <c r="I131" s="840"/>
    </row>
    <row r="132" spans="1:14" ht="15" customHeight="1">
      <c r="A132" s="1011" t="s">
        <v>1144</v>
      </c>
      <c r="B132" s="1184" t="s">
        <v>1152</v>
      </c>
      <c r="C132" s="1043" t="s">
        <v>73</v>
      </c>
      <c r="D132" s="839">
        <v>0.28699999999999998</v>
      </c>
      <c r="E132" s="839" t="s">
        <v>770</v>
      </c>
      <c r="F132" s="266" t="s">
        <v>4</v>
      </c>
      <c r="G132" s="393">
        <f>SUM(G133:G134)</f>
        <v>371.404</v>
      </c>
      <c r="H132" s="840" t="s">
        <v>84</v>
      </c>
      <c r="I132" s="840"/>
    </row>
    <row r="133" spans="1:14" ht="15" customHeight="1">
      <c r="A133" s="1011"/>
      <c r="B133" s="1184"/>
      <c r="C133" s="1043"/>
      <c r="D133" s="839"/>
      <c r="E133" s="839"/>
      <c r="F133" s="274" t="s">
        <v>10</v>
      </c>
      <c r="G133" s="391"/>
      <c r="H133" s="840"/>
      <c r="I133" s="840"/>
    </row>
    <row r="134" spans="1:14" ht="15" customHeight="1">
      <c r="A134" s="1011"/>
      <c r="B134" s="1184"/>
      <c r="C134" s="1044"/>
      <c r="D134" s="1042"/>
      <c r="E134" s="839"/>
      <c r="F134" s="274" t="s">
        <v>11</v>
      </c>
      <c r="G134" s="392">
        <v>371.404</v>
      </c>
      <c r="H134" s="840"/>
      <c r="I134" s="840"/>
    </row>
    <row r="135" spans="1:14" ht="15" customHeight="1">
      <c r="A135" s="1011" t="s">
        <v>1149</v>
      </c>
      <c r="B135" s="1184" t="s">
        <v>1153</v>
      </c>
      <c r="C135" s="1043" t="s">
        <v>73</v>
      </c>
      <c r="D135" s="839">
        <v>0.65</v>
      </c>
      <c r="E135" s="839" t="s">
        <v>770</v>
      </c>
      <c r="F135" s="266" t="s">
        <v>4</v>
      </c>
      <c r="G135" s="393">
        <f t="shared" ref="G135" si="3">SUM(G136:G137)</f>
        <v>337.52</v>
      </c>
      <c r="H135" s="840" t="s">
        <v>84</v>
      </c>
      <c r="I135" s="840"/>
    </row>
    <row r="136" spans="1:14" ht="15" customHeight="1">
      <c r="A136" s="1011"/>
      <c r="B136" s="1184"/>
      <c r="C136" s="1043"/>
      <c r="D136" s="839"/>
      <c r="E136" s="839"/>
      <c r="F136" s="274" t="s">
        <v>10</v>
      </c>
      <c r="G136" s="391"/>
      <c r="H136" s="840"/>
      <c r="I136" s="840"/>
    </row>
    <row r="137" spans="1:14" ht="15" customHeight="1">
      <c r="A137" s="1011"/>
      <c r="B137" s="1184"/>
      <c r="C137" s="1044"/>
      <c r="D137" s="1042"/>
      <c r="E137" s="839"/>
      <c r="F137" s="274" t="s">
        <v>11</v>
      </c>
      <c r="G137" s="392">
        <v>337.52</v>
      </c>
      <c r="H137" s="840"/>
      <c r="I137" s="840"/>
    </row>
    <row r="138" spans="1:14" ht="15" customHeight="1">
      <c r="A138" s="1011" t="s">
        <v>1150</v>
      </c>
      <c r="B138" s="1184" t="s">
        <v>1154</v>
      </c>
      <c r="C138" s="1043" t="s">
        <v>73</v>
      </c>
      <c r="D138" s="839">
        <v>0.80500000000000005</v>
      </c>
      <c r="E138" s="839" t="s">
        <v>770</v>
      </c>
      <c r="F138" s="266" t="s">
        <v>4</v>
      </c>
      <c r="G138" s="393">
        <f t="shared" ref="G138" si="4">SUM(G139:G140)</f>
        <v>428.17200000000003</v>
      </c>
      <c r="H138" s="840" t="s">
        <v>84</v>
      </c>
      <c r="I138" s="840"/>
      <c r="N138" s="435"/>
    </row>
    <row r="139" spans="1:14" ht="15" customHeight="1">
      <c r="A139" s="1011"/>
      <c r="B139" s="1184"/>
      <c r="C139" s="1043"/>
      <c r="D139" s="839"/>
      <c r="E139" s="839"/>
      <c r="F139" s="274" t="s">
        <v>10</v>
      </c>
      <c r="G139" s="391"/>
      <c r="H139" s="840"/>
      <c r="I139" s="840"/>
    </row>
    <row r="140" spans="1:14" ht="15" customHeight="1">
      <c r="A140" s="1011"/>
      <c r="B140" s="1184"/>
      <c r="C140" s="1044"/>
      <c r="D140" s="1042"/>
      <c r="E140" s="839"/>
      <c r="F140" s="274" t="s">
        <v>11</v>
      </c>
      <c r="G140" s="392">
        <v>428.17200000000003</v>
      </c>
      <c r="H140" s="840"/>
      <c r="I140" s="840"/>
    </row>
    <row r="141" spans="1:14" ht="15" customHeight="1">
      <c r="A141" s="1011" t="s">
        <v>1151</v>
      </c>
      <c r="B141" s="1184" t="s">
        <v>1155</v>
      </c>
      <c r="C141" s="1043" t="s">
        <v>73</v>
      </c>
      <c r="D141" s="839">
        <v>0</v>
      </c>
      <c r="E141" s="839" t="s">
        <v>770</v>
      </c>
      <c r="F141" s="266" t="s">
        <v>4</v>
      </c>
      <c r="G141" s="393">
        <f t="shared" ref="G141" si="5">SUM(G142:G143)</f>
        <v>376.66600000000005</v>
      </c>
      <c r="H141" s="840" t="s">
        <v>84</v>
      </c>
      <c r="I141" s="840"/>
    </row>
    <row r="142" spans="1:14" ht="15" customHeight="1">
      <c r="A142" s="1011"/>
      <c r="B142" s="1184"/>
      <c r="C142" s="1043"/>
      <c r="D142" s="839"/>
      <c r="E142" s="839"/>
      <c r="F142" s="274" t="s">
        <v>10</v>
      </c>
      <c r="G142" s="391"/>
      <c r="H142" s="840"/>
      <c r="I142" s="840"/>
    </row>
    <row r="143" spans="1:14" ht="15" customHeight="1">
      <c r="A143" s="1011"/>
      <c r="B143" s="1184"/>
      <c r="C143" s="1044"/>
      <c r="D143" s="1042"/>
      <c r="E143" s="839"/>
      <c r="F143" s="274" t="s">
        <v>11</v>
      </c>
      <c r="G143" s="726">
        <f>119.4828+118.838+84.6252+53.72</f>
        <v>376.66600000000005</v>
      </c>
      <c r="H143" s="840"/>
      <c r="I143" s="840"/>
    </row>
    <row r="144" spans="1:14" ht="22.2" customHeight="1">
      <c r="A144" s="1232" t="s">
        <v>549</v>
      </c>
      <c r="B144" s="1012" t="s">
        <v>1013</v>
      </c>
      <c r="C144" s="1026" t="s">
        <v>9</v>
      </c>
      <c r="D144" s="1071" t="s">
        <v>9</v>
      </c>
      <c r="E144" s="839" t="s">
        <v>770</v>
      </c>
      <c r="F144" s="266" t="s">
        <v>4</v>
      </c>
      <c r="G144" s="270">
        <f>SUM(G145:G146)</f>
        <v>1316.28</v>
      </c>
      <c r="H144" s="1183" t="s">
        <v>9</v>
      </c>
      <c r="I144" s="1183"/>
    </row>
    <row r="145" spans="1:9" ht="22.2" customHeight="1">
      <c r="A145" s="1232"/>
      <c r="B145" s="1012"/>
      <c r="C145" s="1026"/>
      <c r="D145" s="1071"/>
      <c r="E145" s="839"/>
      <c r="F145" s="266" t="s">
        <v>10</v>
      </c>
      <c r="G145" s="270">
        <f>G160+G163+G166</f>
        <v>0</v>
      </c>
      <c r="H145" s="1183"/>
      <c r="I145" s="1183"/>
    </row>
    <row r="146" spans="1:9" ht="22.2" customHeight="1">
      <c r="A146" s="1232"/>
      <c r="B146" s="1012"/>
      <c r="C146" s="1026"/>
      <c r="D146" s="1071"/>
      <c r="E146" s="839"/>
      <c r="F146" s="266" t="s">
        <v>978</v>
      </c>
      <c r="G146" s="270">
        <f>G161+G164+G167</f>
        <v>1316.28</v>
      </c>
      <c r="H146" s="1183"/>
      <c r="I146" s="1183"/>
    </row>
    <row r="147" spans="1:9" ht="16.2" hidden="1" customHeight="1">
      <c r="A147" s="1011"/>
      <c r="B147" s="1099"/>
      <c r="C147" s="1013" t="s">
        <v>66</v>
      </c>
      <c r="D147" s="1053">
        <v>1</v>
      </c>
      <c r="E147" s="839" t="s">
        <v>770</v>
      </c>
      <c r="F147" s="266" t="s">
        <v>4</v>
      </c>
      <c r="G147" s="393"/>
      <c r="H147" s="840" t="s">
        <v>85</v>
      </c>
      <c r="I147" s="840"/>
    </row>
    <row r="148" spans="1:9" ht="16.2" hidden="1" customHeight="1">
      <c r="A148" s="1011"/>
      <c r="B148" s="1012"/>
      <c r="C148" s="1013"/>
      <c r="D148" s="1053"/>
      <c r="E148" s="839"/>
      <c r="F148" s="274" t="s">
        <v>10</v>
      </c>
      <c r="G148" s="391"/>
      <c r="H148" s="840"/>
      <c r="I148" s="840"/>
    </row>
    <row r="149" spans="1:9" ht="16.2" hidden="1" customHeight="1">
      <c r="A149" s="1011"/>
      <c r="B149" s="1012"/>
      <c r="C149" s="1013"/>
      <c r="D149" s="1053"/>
      <c r="E149" s="839"/>
      <c r="F149" s="274" t="s">
        <v>11</v>
      </c>
      <c r="G149" s="392"/>
      <c r="H149" s="840"/>
      <c r="I149" s="840"/>
    </row>
    <row r="150" spans="1:9" ht="16.2" hidden="1" customHeight="1">
      <c r="A150" s="1011"/>
      <c r="B150" s="1012"/>
      <c r="C150" s="1013" t="s">
        <v>43</v>
      </c>
      <c r="D150" s="1013">
        <v>5</v>
      </c>
      <c r="E150" s="839" t="s">
        <v>770</v>
      </c>
      <c r="F150" s="266" t="s">
        <v>4</v>
      </c>
      <c r="G150" s="390"/>
      <c r="H150" s="840" t="s">
        <v>85</v>
      </c>
      <c r="I150" s="840"/>
    </row>
    <row r="151" spans="1:9" ht="16.2" hidden="1" customHeight="1">
      <c r="A151" s="1011"/>
      <c r="B151" s="1012"/>
      <c r="C151" s="1013"/>
      <c r="D151" s="1013"/>
      <c r="E151" s="839"/>
      <c r="F151" s="274" t="s">
        <v>10</v>
      </c>
      <c r="G151" s="391"/>
      <c r="H151" s="840"/>
      <c r="I151" s="840"/>
    </row>
    <row r="152" spans="1:9" ht="16.2" hidden="1" customHeight="1">
      <c r="A152" s="1011"/>
      <c r="B152" s="1012"/>
      <c r="C152" s="1013"/>
      <c r="D152" s="1013"/>
      <c r="E152" s="839"/>
      <c r="F152" s="274" t="s">
        <v>11</v>
      </c>
      <c r="G152" s="392"/>
      <c r="H152" s="840"/>
      <c r="I152" s="840"/>
    </row>
    <row r="153" spans="1:9" ht="16.2" hidden="1" customHeight="1">
      <c r="A153" s="1011"/>
      <c r="B153" s="1012"/>
      <c r="C153" s="840" t="s">
        <v>43</v>
      </c>
      <c r="D153" s="840">
        <v>1</v>
      </c>
      <c r="E153" s="839" t="s">
        <v>770</v>
      </c>
      <c r="F153" s="266" t="s">
        <v>4</v>
      </c>
      <c r="G153" s="390"/>
      <c r="H153" s="840" t="s">
        <v>85</v>
      </c>
      <c r="I153" s="840"/>
    </row>
    <row r="154" spans="1:9" ht="16.2" hidden="1" customHeight="1">
      <c r="A154" s="1011"/>
      <c r="B154" s="1012"/>
      <c r="C154" s="840"/>
      <c r="D154" s="840"/>
      <c r="E154" s="839"/>
      <c r="F154" s="274" t="s">
        <v>10</v>
      </c>
      <c r="G154" s="391"/>
      <c r="H154" s="840"/>
      <c r="I154" s="840"/>
    </row>
    <row r="155" spans="1:9" ht="16.2" hidden="1" customHeight="1">
      <c r="A155" s="1011"/>
      <c r="B155" s="1012"/>
      <c r="C155" s="840"/>
      <c r="D155" s="840"/>
      <c r="E155" s="839"/>
      <c r="F155" s="274" t="s">
        <v>11</v>
      </c>
      <c r="G155" s="392"/>
      <c r="H155" s="840"/>
      <c r="I155" s="840"/>
    </row>
    <row r="156" spans="1:9" ht="16.2" hidden="1" customHeight="1">
      <c r="A156" s="1011"/>
      <c r="B156" s="1097"/>
      <c r="C156" s="840" t="s">
        <v>43</v>
      </c>
      <c r="D156" s="840">
        <v>3</v>
      </c>
      <c r="E156" s="839" t="s">
        <v>770</v>
      </c>
      <c r="F156" s="266" t="s">
        <v>4</v>
      </c>
      <c r="G156" s="390">
        <f>G157+G158</f>
        <v>0</v>
      </c>
      <c r="H156" s="840" t="s">
        <v>84</v>
      </c>
      <c r="I156" s="840"/>
    </row>
    <row r="157" spans="1:9" ht="16.2" hidden="1" customHeight="1">
      <c r="A157" s="1011"/>
      <c r="B157" s="1098"/>
      <c r="C157" s="840"/>
      <c r="D157" s="840"/>
      <c r="E157" s="839"/>
      <c r="F157" s="274" t="s">
        <v>10</v>
      </c>
      <c r="G157" s="391">
        <v>0</v>
      </c>
      <c r="H157" s="840"/>
      <c r="I157" s="840"/>
    </row>
    <row r="158" spans="1:9" ht="16.2" hidden="1" customHeight="1">
      <c r="A158" s="1011"/>
      <c r="B158" s="1099"/>
      <c r="C158" s="840"/>
      <c r="D158" s="840"/>
      <c r="E158" s="839"/>
      <c r="F158" s="274" t="s">
        <v>11</v>
      </c>
      <c r="G158" s="392">
        <v>0</v>
      </c>
      <c r="H158" s="840"/>
      <c r="I158" s="840"/>
    </row>
    <row r="159" spans="1:9" ht="15.6" customHeight="1">
      <c r="A159" s="1011" t="s">
        <v>954</v>
      </c>
      <c r="B159" s="1012" t="s">
        <v>565</v>
      </c>
      <c r="C159" s="840" t="s">
        <v>43</v>
      </c>
      <c r="D159" s="840">
        <v>1</v>
      </c>
      <c r="E159" s="839" t="s">
        <v>770</v>
      </c>
      <c r="F159" s="266" t="s">
        <v>4</v>
      </c>
      <c r="G159" s="393">
        <f>SUM(G160:G161)</f>
        <v>1316.28</v>
      </c>
      <c r="H159" s="840" t="s">
        <v>84</v>
      </c>
      <c r="I159" s="840"/>
    </row>
    <row r="160" spans="1:9" ht="15.6" customHeight="1">
      <c r="A160" s="1011"/>
      <c r="B160" s="1012"/>
      <c r="C160" s="840"/>
      <c r="D160" s="840"/>
      <c r="E160" s="839"/>
      <c r="F160" s="274" t="s">
        <v>10</v>
      </c>
      <c r="G160" s="391">
        <v>0</v>
      </c>
      <c r="H160" s="840"/>
      <c r="I160" s="840"/>
    </row>
    <row r="161" spans="1:13" ht="15.6" customHeight="1">
      <c r="A161" s="1011"/>
      <c r="B161" s="1097"/>
      <c r="C161" s="840"/>
      <c r="D161" s="840"/>
      <c r="E161" s="839"/>
      <c r="F161" s="274" t="s">
        <v>978</v>
      </c>
      <c r="G161" s="391">
        <v>1316.28</v>
      </c>
      <c r="H161" s="840"/>
      <c r="I161" s="840"/>
    </row>
    <row r="162" spans="1:13" ht="12.75" hidden="1" customHeight="1">
      <c r="A162" s="1086" t="s">
        <v>955</v>
      </c>
      <c r="B162" s="1097"/>
      <c r="C162" s="958"/>
      <c r="D162" s="958"/>
      <c r="E162" s="839" t="s">
        <v>770</v>
      </c>
      <c r="F162" s="266" t="s">
        <v>4</v>
      </c>
      <c r="G162" s="393">
        <f>SUM(G163:G164)</f>
        <v>0</v>
      </c>
      <c r="H162" s="840"/>
      <c r="I162" s="840"/>
    </row>
    <row r="163" spans="1:13" ht="12.75" hidden="1" customHeight="1">
      <c r="A163" s="1072"/>
      <c r="B163" s="1098"/>
      <c r="C163" s="1096"/>
      <c r="D163" s="1096"/>
      <c r="E163" s="839"/>
      <c r="F163" s="274" t="s">
        <v>10</v>
      </c>
      <c r="G163" s="391"/>
      <c r="H163" s="840"/>
      <c r="I163" s="840"/>
    </row>
    <row r="164" spans="1:13" ht="12.75" hidden="1" customHeight="1">
      <c r="A164" s="1073"/>
      <c r="B164" s="1099"/>
      <c r="C164" s="959"/>
      <c r="D164" s="959"/>
      <c r="E164" s="839"/>
      <c r="F164" s="274" t="s">
        <v>978</v>
      </c>
      <c r="G164" s="391"/>
      <c r="H164" s="840"/>
      <c r="I164" s="840"/>
    </row>
    <row r="165" spans="1:13" ht="13.2" hidden="1" customHeight="1">
      <c r="A165" s="1011" t="s">
        <v>956</v>
      </c>
      <c r="B165" s="1012"/>
      <c r="C165" s="1013"/>
      <c r="D165" s="1013"/>
      <c r="E165" s="839" t="s">
        <v>770</v>
      </c>
      <c r="F165" s="266" t="s">
        <v>4</v>
      </c>
      <c r="G165" s="393">
        <f>SUM(G166:G167)</f>
        <v>0</v>
      </c>
      <c r="H165" s="840"/>
      <c r="I165" s="840"/>
    </row>
    <row r="166" spans="1:13" ht="13.2" hidden="1" customHeight="1">
      <c r="A166" s="1011"/>
      <c r="B166" s="1012"/>
      <c r="C166" s="1013"/>
      <c r="D166" s="1013"/>
      <c r="E166" s="839"/>
      <c r="F166" s="274" t="s">
        <v>10</v>
      </c>
      <c r="G166" s="391"/>
      <c r="H166" s="840"/>
      <c r="I166" s="840"/>
    </row>
    <row r="167" spans="1:13" ht="13.2" hidden="1" customHeight="1">
      <c r="A167" s="1011"/>
      <c r="B167" s="1012"/>
      <c r="C167" s="1013"/>
      <c r="D167" s="1013"/>
      <c r="E167" s="839"/>
      <c r="F167" s="274" t="s">
        <v>978</v>
      </c>
      <c r="G167" s="391"/>
      <c r="H167" s="840"/>
      <c r="I167" s="840"/>
    </row>
    <row r="168" spans="1:13" ht="19.2" customHeight="1">
      <c r="A168" s="1011" t="s">
        <v>983</v>
      </c>
      <c r="B168" s="1012" t="s">
        <v>957</v>
      </c>
      <c r="C168" s="1026" t="s">
        <v>9</v>
      </c>
      <c r="D168" s="1026" t="s">
        <v>9</v>
      </c>
      <c r="E168" s="839" t="s">
        <v>770</v>
      </c>
      <c r="F168" s="266" t="s">
        <v>4</v>
      </c>
      <c r="G168" s="270">
        <f>SUM(G169:G170)</f>
        <v>1820</v>
      </c>
      <c r="H168" s="1033" t="s">
        <v>87</v>
      </c>
      <c r="I168" s="1033"/>
    </row>
    <row r="169" spans="1:13" ht="19.2" customHeight="1">
      <c r="A169" s="1011"/>
      <c r="B169" s="1012"/>
      <c r="C169" s="1026"/>
      <c r="D169" s="1026"/>
      <c r="E169" s="839"/>
      <c r="F169" s="266" t="s">
        <v>10</v>
      </c>
      <c r="G169" s="272">
        <f>G172</f>
        <v>0</v>
      </c>
      <c r="H169" s="1033"/>
      <c r="I169" s="1033"/>
    </row>
    <row r="170" spans="1:13" ht="19.2" customHeight="1">
      <c r="A170" s="1011"/>
      <c r="B170" s="1012"/>
      <c r="C170" s="1026"/>
      <c r="D170" s="1026"/>
      <c r="E170" s="839"/>
      <c r="F170" s="266" t="s">
        <v>978</v>
      </c>
      <c r="G170" s="272">
        <f>G173+G176</f>
        <v>1820</v>
      </c>
      <c r="H170" s="1033"/>
      <c r="I170" s="1033"/>
    </row>
    <row r="171" spans="1:13" ht="13.2" customHeight="1">
      <c r="A171" s="1011" t="s">
        <v>984</v>
      </c>
      <c r="B171" s="1099" t="s">
        <v>1091</v>
      </c>
      <c r="C171" s="840" t="s">
        <v>43</v>
      </c>
      <c r="D171" s="840">
        <v>7</v>
      </c>
      <c r="E171" s="839" t="s">
        <v>770</v>
      </c>
      <c r="F171" s="274" t="s">
        <v>4</v>
      </c>
      <c r="G171" s="585">
        <f>SUM(G172:G173)</f>
        <v>1120</v>
      </c>
      <c r="H171" s="1033" t="s">
        <v>87</v>
      </c>
      <c r="I171" s="1033"/>
      <c r="K171" s="637"/>
    </row>
    <row r="172" spans="1:13" ht="13.2" customHeight="1">
      <c r="A172" s="1011"/>
      <c r="B172" s="1012"/>
      <c r="C172" s="840"/>
      <c r="D172" s="840"/>
      <c r="E172" s="839"/>
      <c r="F172" s="274" t="s">
        <v>10</v>
      </c>
      <c r="G172" s="391">
        <v>0</v>
      </c>
      <c r="H172" s="1033"/>
      <c r="I172" s="1033"/>
      <c r="M172" s="435"/>
    </row>
    <row r="173" spans="1:13" ht="13.2" customHeight="1">
      <c r="A173" s="1011"/>
      <c r="B173" s="1012"/>
      <c r="C173" s="840"/>
      <c r="D173" s="840"/>
      <c r="E173" s="839"/>
      <c r="F173" s="274" t="s">
        <v>978</v>
      </c>
      <c r="G173" s="391">
        <v>1120</v>
      </c>
      <c r="H173" s="1033"/>
      <c r="I173" s="1033"/>
    </row>
    <row r="174" spans="1:13" ht="13.5" customHeight="1">
      <c r="A174" s="1011" t="s">
        <v>986</v>
      </c>
      <c r="B174" s="1012" t="s">
        <v>1048</v>
      </c>
      <c r="C174" s="1013" t="s">
        <v>43</v>
      </c>
      <c r="D174" s="1013">
        <v>6</v>
      </c>
      <c r="E174" s="839" t="s">
        <v>770</v>
      </c>
      <c r="F174" s="266" t="s">
        <v>4</v>
      </c>
      <c r="G174" s="270">
        <f>G175+G176</f>
        <v>700</v>
      </c>
      <c r="H174" s="1033" t="s">
        <v>87</v>
      </c>
      <c r="I174" s="1033"/>
    </row>
    <row r="175" spans="1:13" ht="13.5" customHeight="1">
      <c r="A175" s="1011"/>
      <c r="B175" s="1012"/>
      <c r="C175" s="1013"/>
      <c r="D175" s="1013"/>
      <c r="E175" s="839"/>
      <c r="F175" s="274" t="s">
        <v>10</v>
      </c>
      <c r="G175" s="275">
        <v>0</v>
      </c>
      <c r="H175" s="1033"/>
      <c r="I175" s="1033"/>
    </row>
    <row r="176" spans="1:13" ht="13.5" customHeight="1">
      <c r="A176" s="1011"/>
      <c r="B176" s="1012"/>
      <c r="C176" s="1013"/>
      <c r="D176" s="1013"/>
      <c r="E176" s="839"/>
      <c r="F176" s="274" t="s">
        <v>11</v>
      </c>
      <c r="G176" s="275">
        <v>700</v>
      </c>
      <c r="H176" s="1033"/>
      <c r="I176" s="1033"/>
    </row>
    <row r="177" spans="1:9" ht="12.75" hidden="1" customHeight="1">
      <c r="A177" s="1011" t="s">
        <v>1090</v>
      </c>
      <c r="B177" s="1012" t="s">
        <v>1121</v>
      </c>
      <c r="C177" s="840"/>
      <c r="D177" s="840"/>
      <c r="E177" s="839" t="s">
        <v>770</v>
      </c>
      <c r="F177" s="266" t="s">
        <v>4</v>
      </c>
      <c r="G177" s="393">
        <f>SUM(G178:G179)</f>
        <v>0</v>
      </c>
      <c r="H177" s="840" t="s">
        <v>87</v>
      </c>
      <c r="I177" s="840"/>
    </row>
    <row r="178" spans="1:9" ht="12.75" hidden="1" customHeight="1">
      <c r="A178" s="1011"/>
      <c r="B178" s="1012"/>
      <c r="C178" s="840"/>
      <c r="D178" s="840"/>
      <c r="E178" s="839"/>
      <c r="F178" s="274" t="s">
        <v>10</v>
      </c>
      <c r="G178" s="391">
        <v>0</v>
      </c>
      <c r="H178" s="840"/>
      <c r="I178" s="840"/>
    </row>
    <row r="179" spans="1:9" ht="12.75" hidden="1" customHeight="1">
      <c r="A179" s="1011"/>
      <c r="B179" s="1097"/>
      <c r="C179" s="840"/>
      <c r="D179" s="840"/>
      <c r="E179" s="839"/>
      <c r="F179" s="274" t="s">
        <v>978</v>
      </c>
      <c r="G179" s="391"/>
      <c r="H179" s="840"/>
      <c r="I179" s="840"/>
    </row>
    <row r="180" spans="1:9" ht="12.75" hidden="1" customHeight="1">
      <c r="A180" s="1011" t="s">
        <v>1107</v>
      </c>
      <c r="B180" s="1196"/>
      <c r="C180" s="840"/>
      <c r="D180" s="840"/>
      <c r="E180" s="839" t="s">
        <v>770</v>
      </c>
      <c r="F180" s="266" t="s">
        <v>4</v>
      </c>
      <c r="G180" s="393">
        <f>SUM(G181:G182)</f>
        <v>0</v>
      </c>
      <c r="H180" s="1236"/>
      <c r="I180" s="1236"/>
    </row>
    <row r="181" spans="1:9" ht="12.75" hidden="1" customHeight="1">
      <c r="A181" s="1011"/>
      <c r="B181" s="1196"/>
      <c r="C181" s="840"/>
      <c r="D181" s="840"/>
      <c r="E181" s="839"/>
      <c r="F181" s="274" t="s">
        <v>10</v>
      </c>
      <c r="G181" s="391">
        <v>0</v>
      </c>
      <c r="H181" s="1236"/>
      <c r="I181" s="1236"/>
    </row>
    <row r="182" spans="1:9" ht="12.75" hidden="1" customHeight="1">
      <c r="A182" s="1011"/>
      <c r="B182" s="1068"/>
      <c r="C182" s="840"/>
      <c r="D182" s="840"/>
      <c r="E182" s="839"/>
      <c r="F182" s="274" t="s">
        <v>978</v>
      </c>
      <c r="G182" s="391">
        <v>0</v>
      </c>
      <c r="H182" s="1236"/>
      <c r="I182" s="1236"/>
    </row>
    <row r="183" spans="1:9" ht="22.95" customHeight="1">
      <c r="A183" s="1055">
        <v>3</v>
      </c>
      <c r="B183" s="1025" t="s">
        <v>1145</v>
      </c>
      <c r="C183" s="1061" t="s">
        <v>9</v>
      </c>
      <c r="D183" s="1064" t="s">
        <v>9</v>
      </c>
      <c r="E183" s="839" t="s">
        <v>770</v>
      </c>
      <c r="F183" s="266" t="s">
        <v>4</v>
      </c>
      <c r="G183" s="270">
        <f>G184+G185+G186</f>
        <v>67130</v>
      </c>
      <c r="H183" s="1039" t="s">
        <v>9</v>
      </c>
      <c r="I183" s="1039"/>
    </row>
    <row r="184" spans="1:9" ht="22.95" customHeight="1">
      <c r="A184" s="1056"/>
      <c r="B184" s="1025"/>
      <c r="C184" s="1062"/>
      <c r="D184" s="1065"/>
      <c r="E184" s="839"/>
      <c r="F184" s="266" t="s">
        <v>24</v>
      </c>
      <c r="G184" s="270">
        <v>67000</v>
      </c>
      <c r="H184" s="1039"/>
      <c r="I184" s="1039"/>
    </row>
    <row r="185" spans="1:9" ht="22.95" customHeight="1">
      <c r="A185" s="1056"/>
      <c r="B185" s="1025"/>
      <c r="C185" s="1062"/>
      <c r="D185" s="1065"/>
      <c r="E185" s="839"/>
      <c r="F185" s="266" t="s">
        <v>10</v>
      </c>
      <c r="G185" s="270">
        <v>0</v>
      </c>
      <c r="H185" s="1039"/>
      <c r="I185" s="1039"/>
    </row>
    <row r="186" spans="1:9" ht="22.95" customHeight="1">
      <c r="A186" s="1056"/>
      <c r="B186" s="1025"/>
      <c r="C186" s="1062"/>
      <c r="D186" s="1065"/>
      <c r="E186" s="839"/>
      <c r="F186" s="266" t="s">
        <v>978</v>
      </c>
      <c r="G186" s="270">
        <f>G190+G237+G267+G291+G300</f>
        <v>130</v>
      </c>
      <c r="H186" s="1039"/>
      <c r="I186" s="1039"/>
    </row>
    <row r="187" spans="1:9" ht="16.95" customHeight="1">
      <c r="A187" s="1024" t="s">
        <v>169</v>
      </c>
      <c r="B187" s="1030" t="s">
        <v>1179</v>
      </c>
      <c r="C187" s="1033" t="s">
        <v>215</v>
      </c>
      <c r="D187" s="840">
        <f>D191+D195+D199+D203+D207+D211+D215+D219+D223+D227</f>
        <v>3467.6</v>
      </c>
      <c r="E187" s="839" t="s">
        <v>770</v>
      </c>
      <c r="F187" s="266" t="s">
        <v>4</v>
      </c>
      <c r="G187" s="393">
        <f>G188+G189+G190</f>
        <v>67130</v>
      </c>
      <c r="H187" s="840" t="s">
        <v>1146</v>
      </c>
      <c r="I187" s="840"/>
    </row>
    <row r="188" spans="1:9" ht="16.95" customHeight="1">
      <c r="A188" s="1024"/>
      <c r="B188" s="1030"/>
      <c r="C188" s="1033"/>
      <c r="D188" s="840"/>
      <c r="E188" s="839"/>
      <c r="F188" s="274" t="s">
        <v>24</v>
      </c>
      <c r="G188" s="585">
        <f>G192+G196+G200+G204+G208+G212+G216+G220+G224+G228</f>
        <v>67000</v>
      </c>
      <c r="H188" s="840"/>
      <c r="I188" s="840"/>
    </row>
    <row r="189" spans="1:9" ht="16.95" customHeight="1">
      <c r="A189" s="1024"/>
      <c r="B189" s="1030"/>
      <c r="C189" s="1033"/>
      <c r="D189" s="840"/>
      <c r="E189" s="839"/>
      <c r="F189" s="274" t="s">
        <v>10</v>
      </c>
      <c r="G189" s="585">
        <f t="shared" ref="G189:G190" si="6">G193+G197+G201+G205+G209+G213+G217+G221+G225+G229</f>
        <v>0</v>
      </c>
      <c r="H189" s="840"/>
      <c r="I189" s="840"/>
    </row>
    <row r="190" spans="1:9" ht="16.95" customHeight="1">
      <c r="A190" s="1024"/>
      <c r="B190" s="1058"/>
      <c r="C190" s="1033"/>
      <c r="D190" s="840"/>
      <c r="E190" s="839"/>
      <c r="F190" s="274" t="s">
        <v>978</v>
      </c>
      <c r="G190" s="585">
        <f t="shared" si="6"/>
        <v>130</v>
      </c>
      <c r="H190" s="840"/>
      <c r="I190" s="840"/>
    </row>
    <row r="191" spans="1:9" ht="12.75" customHeight="1">
      <c r="A191" s="1011" t="s">
        <v>1080</v>
      </c>
      <c r="B191" s="1196" t="s">
        <v>1181</v>
      </c>
      <c r="C191" s="1033" t="s">
        <v>215</v>
      </c>
      <c r="D191" s="840">
        <v>312</v>
      </c>
      <c r="E191" s="839" t="s">
        <v>770</v>
      </c>
      <c r="F191" s="266" t="s">
        <v>4</v>
      </c>
      <c r="G191" s="393">
        <f>G192+G193+G194</f>
        <v>11871.0062</v>
      </c>
      <c r="H191" s="840" t="s">
        <v>84</v>
      </c>
      <c r="I191" s="840"/>
    </row>
    <row r="192" spans="1:9" ht="12.75" customHeight="1">
      <c r="A192" s="1011"/>
      <c r="B192" s="1196"/>
      <c r="C192" s="1033"/>
      <c r="D192" s="840"/>
      <c r="E192" s="839"/>
      <c r="F192" s="274" t="s">
        <v>24</v>
      </c>
      <c r="G192" s="391">
        <v>11871.0062</v>
      </c>
      <c r="H192" s="840"/>
      <c r="I192" s="840"/>
    </row>
    <row r="193" spans="1:9" ht="12.75" customHeight="1">
      <c r="A193" s="1011"/>
      <c r="B193" s="1196"/>
      <c r="C193" s="1033"/>
      <c r="D193" s="840"/>
      <c r="E193" s="839"/>
      <c r="F193" s="274" t="s">
        <v>10</v>
      </c>
      <c r="G193" s="391">
        <v>0</v>
      </c>
      <c r="H193" s="840"/>
      <c r="I193" s="840"/>
    </row>
    <row r="194" spans="1:9" ht="12.75" customHeight="1">
      <c r="A194" s="1011"/>
      <c r="B194" s="1068"/>
      <c r="C194" s="1033"/>
      <c r="D194" s="840"/>
      <c r="E194" s="839"/>
      <c r="F194" s="274" t="s">
        <v>978</v>
      </c>
      <c r="G194" s="391">
        <v>0</v>
      </c>
      <c r="H194" s="840"/>
      <c r="I194" s="840"/>
    </row>
    <row r="195" spans="1:9" ht="12.75" customHeight="1">
      <c r="A195" s="1011" t="s">
        <v>1081</v>
      </c>
      <c r="B195" s="1196" t="s">
        <v>1180</v>
      </c>
      <c r="C195" s="1033" t="s">
        <v>215</v>
      </c>
      <c r="D195" s="840">
        <v>312</v>
      </c>
      <c r="E195" s="839" t="s">
        <v>770</v>
      </c>
      <c r="F195" s="266" t="s">
        <v>4</v>
      </c>
      <c r="G195" s="393">
        <f>G196+G197+G198</f>
        <v>6115.3087999999998</v>
      </c>
      <c r="H195" s="840" t="s">
        <v>1106</v>
      </c>
      <c r="I195" s="840"/>
    </row>
    <row r="196" spans="1:9" ht="12.75" customHeight="1">
      <c r="A196" s="1011"/>
      <c r="B196" s="1196"/>
      <c r="C196" s="1033"/>
      <c r="D196" s="840"/>
      <c r="E196" s="839"/>
      <c r="F196" s="274" t="s">
        <v>24</v>
      </c>
      <c r="G196" s="391">
        <v>6115.3087999999998</v>
      </c>
      <c r="H196" s="840"/>
      <c r="I196" s="840"/>
    </row>
    <row r="197" spans="1:9" ht="12.75" customHeight="1">
      <c r="A197" s="1011"/>
      <c r="B197" s="1196"/>
      <c r="C197" s="1033"/>
      <c r="D197" s="840"/>
      <c r="E197" s="839"/>
      <c r="F197" s="274" t="s">
        <v>10</v>
      </c>
      <c r="G197" s="391">
        <v>0</v>
      </c>
      <c r="H197" s="840"/>
      <c r="I197" s="840"/>
    </row>
    <row r="198" spans="1:9" ht="12.75" customHeight="1">
      <c r="A198" s="1011"/>
      <c r="B198" s="1068"/>
      <c r="C198" s="1033"/>
      <c r="D198" s="840"/>
      <c r="E198" s="839"/>
      <c r="F198" s="274" t="s">
        <v>978</v>
      </c>
      <c r="G198" s="391">
        <v>0</v>
      </c>
      <c r="H198" s="840"/>
      <c r="I198" s="840"/>
    </row>
    <row r="199" spans="1:9" ht="12.75" customHeight="1">
      <c r="A199" s="1011" t="s">
        <v>1082</v>
      </c>
      <c r="B199" s="1196" t="s">
        <v>1182</v>
      </c>
      <c r="C199" s="1033" t="s">
        <v>215</v>
      </c>
      <c r="D199" s="840">
        <v>694</v>
      </c>
      <c r="E199" s="839" t="s">
        <v>770</v>
      </c>
      <c r="F199" s="266" t="s">
        <v>4</v>
      </c>
      <c r="G199" s="393">
        <f>G200+G201+G202</f>
        <v>6292.2979999999998</v>
      </c>
      <c r="H199" s="840" t="s">
        <v>84</v>
      </c>
      <c r="I199" s="840"/>
    </row>
    <row r="200" spans="1:9" ht="12.75" customHeight="1">
      <c r="A200" s="1011"/>
      <c r="B200" s="1196"/>
      <c r="C200" s="1033"/>
      <c r="D200" s="840"/>
      <c r="E200" s="839"/>
      <c r="F200" s="274" t="s">
        <v>24</v>
      </c>
      <c r="G200" s="391">
        <v>6292.2979999999998</v>
      </c>
      <c r="H200" s="840"/>
      <c r="I200" s="840"/>
    </row>
    <row r="201" spans="1:9" ht="12.75" customHeight="1">
      <c r="A201" s="1011"/>
      <c r="B201" s="1196"/>
      <c r="C201" s="1033"/>
      <c r="D201" s="840"/>
      <c r="E201" s="839"/>
      <c r="F201" s="274" t="s">
        <v>10</v>
      </c>
      <c r="G201" s="391">
        <v>0</v>
      </c>
      <c r="H201" s="840"/>
      <c r="I201" s="840"/>
    </row>
    <row r="202" spans="1:9" ht="12.75" customHeight="1">
      <c r="A202" s="1011"/>
      <c r="B202" s="1068"/>
      <c r="C202" s="1033"/>
      <c r="D202" s="840"/>
      <c r="E202" s="839"/>
      <c r="F202" s="274" t="s">
        <v>978</v>
      </c>
      <c r="G202" s="391">
        <v>0</v>
      </c>
      <c r="H202" s="840"/>
      <c r="I202" s="840"/>
    </row>
    <row r="203" spans="1:9" ht="12.75" customHeight="1">
      <c r="A203" s="1011" t="s">
        <v>1083</v>
      </c>
      <c r="B203" s="1196" t="s">
        <v>1183</v>
      </c>
      <c r="C203" s="1033" t="s">
        <v>215</v>
      </c>
      <c r="D203" s="840">
        <v>216</v>
      </c>
      <c r="E203" s="839" t="s">
        <v>770</v>
      </c>
      <c r="F203" s="266" t="s">
        <v>4</v>
      </c>
      <c r="G203" s="393">
        <f>G204+G205+G206</f>
        <v>4538.4751999999999</v>
      </c>
      <c r="H203" s="840" t="s">
        <v>1106</v>
      </c>
      <c r="I203" s="840"/>
    </row>
    <row r="204" spans="1:9" ht="12.75" customHeight="1">
      <c r="A204" s="1011"/>
      <c r="B204" s="1196"/>
      <c r="C204" s="1033"/>
      <c r="D204" s="840"/>
      <c r="E204" s="839"/>
      <c r="F204" s="274" t="s">
        <v>24</v>
      </c>
      <c r="G204" s="391">
        <v>4538.4751999999999</v>
      </c>
      <c r="H204" s="840"/>
      <c r="I204" s="840"/>
    </row>
    <row r="205" spans="1:9" ht="12.75" customHeight="1">
      <c r="A205" s="1011"/>
      <c r="B205" s="1196"/>
      <c r="C205" s="1033"/>
      <c r="D205" s="840"/>
      <c r="E205" s="839"/>
      <c r="F205" s="274" t="s">
        <v>10</v>
      </c>
      <c r="G205" s="391">
        <v>0</v>
      </c>
      <c r="H205" s="840"/>
      <c r="I205" s="840"/>
    </row>
    <row r="206" spans="1:9" ht="12.75" customHeight="1">
      <c r="A206" s="1011"/>
      <c r="B206" s="1068"/>
      <c r="C206" s="1033"/>
      <c r="D206" s="840"/>
      <c r="E206" s="839"/>
      <c r="F206" s="274" t="s">
        <v>978</v>
      </c>
      <c r="G206" s="391">
        <v>0</v>
      </c>
      <c r="H206" s="840"/>
      <c r="I206" s="840"/>
    </row>
    <row r="207" spans="1:9" ht="12.75" customHeight="1">
      <c r="A207" s="1011" t="s">
        <v>1084</v>
      </c>
      <c r="B207" s="1196" t="s">
        <v>1184</v>
      </c>
      <c r="C207" s="1033" t="s">
        <v>215</v>
      </c>
      <c r="D207" s="840">
        <v>450</v>
      </c>
      <c r="E207" s="839" t="s">
        <v>770</v>
      </c>
      <c r="F207" s="266" t="s">
        <v>4</v>
      </c>
      <c r="G207" s="393">
        <f>G208+G209+G210</f>
        <v>5451.3950000000004</v>
      </c>
      <c r="H207" s="840" t="s">
        <v>84</v>
      </c>
      <c r="I207" s="840"/>
    </row>
    <row r="208" spans="1:9" ht="12.75" customHeight="1">
      <c r="A208" s="1011"/>
      <c r="B208" s="1196"/>
      <c r="C208" s="1033"/>
      <c r="D208" s="840"/>
      <c r="E208" s="839"/>
      <c r="F208" s="274" t="s">
        <v>24</v>
      </c>
      <c r="G208" s="391">
        <v>5451.3950000000004</v>
      </c>
      <c r="H208" s="840"/>
      <c r="I208" s="840"/>
    </row>
    <row r="209" spans="1:9" ht="12.75" customHeight="1">
      <c r="A209" s="1011"/>
      <c r="B209" s="1196"/>
      <c r="C209" s="1033"/>
      <c r="D209" s="840"/>
      <c r="E209" s="839"/>
      <c r="F209" s="274" t="s">
        <v>10</v>
      </c>
      <c r="G209" s="391">
        <v>0</v>
      </c>
      <c r="H209" s="840"/>
      <c r="I209" s="840"/>
    </row>
    <row r="210" spans="1:9" ht="12.75" customHeight="1">
      <c r="A210" s="1011"/>
      <c r="B210" s="1068"/>
      <c r="C210" s="1033"/>
      <c r="D210" s="840"/>
      <c r="E210" s="839"/>
      <c r="F210" s="274" t="s">
        <v>978</v>
      </c>
      <c r="G210" s="391">
        <v>0</v>
      </c>
      <c r="H210" s="840"/>
      <c r="I210" s="840"/>
    </row>
    <row r="211" spans="1:9" ht="12.75" customHeight="1">
      <c r="A211" s="1011" t="s">
        <v>1085</v>
      </c>
      <c r="B211" s="1196" t="s">
        <v>1185</v>
      </c>
      <c r="C211" s="1033" t="s">
        <v>215</v>
      </c>
      <c r="D211" s="840">
        <v>319.60000000000002</v>
      </c>
      <c r="E211" s="839" t="s">
        <v>770</v>
      </c>
      <c r="F211" s="266" t="s">
        <v>4</v>
      </c>
      <c r="G211" s="393">
        <f>G212+G213+G214</f>
        <v>6625.0249999999996</v>
      </c>
      <c r="H211" s="840" t="s">
        <v>1106</v>
      </c>
      <c r="I211" s="840"/>
    </row>
    <row r="212" spans="1:9" ht="12.75" customHeight="1">
      <c r="A212" s="1011"/>
      <c r="B212" s="1196"/>
      <c r="C212" s="1033"/>
      <c r="D212" s="840"/>
      <c r="E212" s="839"/>
      <c r="F212" s="274" t="s">
        <v>24</v>
      </c>
      <c r="G212" s="391">
        <v>6625.0249999999996</v>
      </c>
      <c r="H212" s="840"/>
      <c r="I212" s="840"/>
    </row>
    <row r="213" spans="1:9" ht="12.75" customHeight="1">
      <c r="A213" s="1011"/>
      <c r="B213" s="1196"/>
      <c r="C213" s="1033"/>
      <c r="D213" s="840"/>
      <c r="E213" s="839"/>
      <c r="F213" s="274" t="s">
        <v>10</v>
      </c>
      <c r="G213" s="391">
        <v>0</v>
      </c>
      <c r="H213" s="840"/>
      <c r="I213" s="840"/>
    </row>
    <row r="214" spans="1:9" ht="12.75" customHeight="1">
      <c r="A214" s="1011"/>
      <c r="B214" s="1068"/>
      <c r="C214" s="1033"/>
      <c r="D214" s="840"/>
      <c r="E214" s="839"/>
      <c r="F214" s="274" t="s">
        <v>978</v>
      </c>
      <c r="G214" s="391">
        <v>0</v>
      </c>
      <c r="H214" s="840"/>
      <c r="I214" s="840"/>
    </row>
    <row r="215" spans="1:9" ht="12.75" customHeight="1">
      <c r="A215" s="1011" t="s">
        <v>1086</v>
      </c>
      <c r="B215" s="1196" t="s">
        <v>1194</v>
      </c>
      <c r="C215" s="1033" t="s">
        <v>215</v>
      </c>
      <c r="D215" s="840">
        <v>280</v>
      </c>
      <c r="E215" s="839" t="s">
        <v>770</v>
      </c>
      <c r="F215" s="266" t="s">
        <v>4</v>
      </c>
      <c r="G215" s="393">
        <f>G216+G217+G218</f>
        <v>6684.0248000000001</v>
      </c>
      <c r="H215" s="840" t="s">
        <v>84</v>
      </c>
      <c r="I215" s="840"/>
    </row>
    <row r="216" spans="1:9" ht="12.75" customHeight="1">
      <c r="A216" s="1011"/>
      <c r="B216" s="1196"/>
      <c r="C216" s="1033"/>
      <c r="D216" s="840"/>
      <c r="E216" s="839"/>
      <c r="F216" s="274" t="s">
        <v>24</v>
      </c>
      <c r="G216" s="391">
        <v>6684.0248000000001</v>
      </c>
      <c r="H216" s="840"/>
      <c r="I216" s="840"/>
    </row>
    <row r="217" spans="1:9" ht="12.75" customHeight="1">
      <c r="A217" s="1011"/>
      <c r="B217" s="1196"/>
      <c r="C217" s="1033"/>
      <c r="D217" s="840"/>
      <c r="E217" s="839"/>
      <c r="F217" s="274" t="s">
        <v>10</v>
      </c>
      <c r="G217" s="391">
        <v>0</v>
      </c>
      <c r="H217" s="840"/>
      <c r="I217" s="840"/>
    </row>
    <row r="218" spans="1:9" ht="12.75" customHeight="1">
      <c r="A218" s="1011"/>
      <c r="B218" s="1068"/>
      <c r="C218" s="1033"/>
      <c r="D218" s="840"/>
      <c r="E218" s="839"/>
      <c r="F218" s="274" t="s">
        <v>978</v>
      </c>
      <c r="G218" s="391">
        <v>0</v>
      </c>
      <c r="H218" s="840"/>
      <c r="I218" s="840"/>
    </row>
    <row r="219" spans="1:9" ht="12.75" customHeight="1">
      <c r="A219" s="1011" t="s">
        <v>1087</v>
      </c>
      <c r="B219" s="1196" t="s">
        <v>1186</v>
      </c>
      <c r="C219" s="1033" t="s">
        <v>215</v>
      </c>
      <c r="D219" s="840">
        <v>260</v>
      </c>
      <c r="E219" s="839" t="s">
        <v>770</v>
      </c>
      <c r="F219" s="266" t="s">
        <v>4</v>
      </c>
      <c r="G219" s="393">
        <f>G220+G221+G222</f>
        <v>6154.9750000000004</v>
      </c>
      <c r="H219" s="840" t="s">
        <v>84</v>
      </c>
      <c r="I219" s="840"/>
    </row>
    <row r="220" spans="1:9" ht="12.75" customHeight="1">
      <c r="A220" s="1011"/>
      <c r="B220" s="1196"/>
      <c r="C220" s="1033"/>
      <c r="D220" s="840"/>
      <c r="E220" s="839"/>
      <c r="F220" s="274" t="s">
        <v>24</v>
      </c>
      <c r="G220" s="391">
        <v>6154.9750000000004</v>
      </c>
      <c r="H220" s="840"/>
      <c r="I220" s="840"/>
    </row>
    <row r="221" spans="1:9" ht="12.75" customHeight="1">
      <c r="A221" s="1011"/>
      <c r="B221" s="1196"/>
      <c r="C221" s="1033"/>
      <c r="D221" s="840"/>
      <c r="E221" s="839"/>
      <c r="F221" s="274" t="s">
        <v>10</v>
      </c>
      <c r="G221" s="391">
        <v>0</v>
      </c>
      <c r="H221" s="840"/>
      <c r="I221" s="840"/>
    </row>
    <row r="222" spans="1:9" ht="12.75" customHeight="1">
      <c r="A222" s="1011"/>
      <c r="B222" s="1068"/>
      <c r="C222" s="1033"/>
      <c r="D222" s="840"/>
      <c r="E222" s="839"/>
      <c r="F222" s="274" t="s">
        <v>978</v>
      </c>
      <c r="G222" s="391">
        <v>0</v>
      </c>
      <c r="H222" s="840"/>
      <c r="I222" s="840"/>
    </row>
    <row r="223" spans="1:9" ht="12.75" customHeight="1">
      <c r="A223" s="1011" t="s">
        <v>1088</v>
      </c>
      <c r="B223" s="1196" t="s">
        <v>1195</v>
      </c>
      <c r="C223" s="1033" t="s">
        <v>215</v>
      </c>
      <c r="D223" s="840">
        <v>312</v>
      </c>
      <c r="E223" s="839" t="s">
        <v>770</v>
      </c>
      <c r="F223" s="266" t="s">
        <v>4</v>
      </c>
      <c r="G223" s="393">
        <f>G224+G225+G226</f>
        <v>7206.9170000000004</v>
      </c>
      <c r="H223" s="840" t="s">
        <v>84</v>
      </c>
      <c r="I223" s="840"/>
    </row>
    <row r="224" spans="1:9" ht="12.75" customHeight="1">
      <c r="A224" s="1011"/>
      <c r="B224" s="1196"/>
      <c r="C224" s="1033"/>
      <c r="D224" s="840"/>
      <c r="E224" s="839"/>
      <c r="F224" s="274" t="s">
        <v>24</v>
      </c>
      <c r="G224" s="391">
        <v>7076.9170000000004</v>
      </c>
      <c r="H224" s="840"/>
      <c r="I224" s="840"/>
    </row>
    <row r="225" spans="1:14" ht="12.75" customHeight="1">
      <c r="A225" s="1011"/>
      <c r="B225" s="1196"/>
      <c r="C225" s="1033"/>
      <c r="D225" s="840"/>
      <c r="E225" s="839"/>
      <c r="F225" s="274" t="s">
        <v>10</v>
      </c>
      <c r="G225" s="391">
        <v>0</v>
      </c>
      <c r="H225" s="840"/>
      <c r="I225" s="840"/>
    </row>
    <row r="226" spans="1:14" ht="12.75" customHeight="1">
      <c r="A226" s="1011"/>
      <c r="B226" s="1068"/>
      <c r="C226" s="1033"/>
      <c r="D226" s="840"/>
      <c r="E226" s="839"/>
      <c r="F226" s="274" t="s">
        <v>978</v>
      </c>
      <c r="G226" s="391">
        <v>130</v>
      </c>
      <c r="H226" s="840"/>
      <c r="I226" s="840"/>
    </row>
    <row r="227" spans="1:14" ht="12.75" customHeight="1">
      <c r="A227" s="1011" t="s">
        <v>1089</v>
      </c>
      <c r="B227" s="1196" t="s">
        <v>1187</v>
      </c>
      <c r="C227" s="1033" t="s">
        <v>215</v>
      </c>
      <c r="D227" s="840">
        <v>312</v>
      </c>
      <c r="E227" s="839" t="s">
        <v>770</v>
      </c>
      <c r="F227" s="266" t="s">
        <v>4</v>
      </c>
      <c r="G227" s="393">
        <f>G228+G229+G230</f>
        <v>6190.5749999999998</v>
      </c>
      <c r="H227" s="840" t="s">
        <v>84</v>
      </c>
      <c r="I227" s="840"/>
    </row>
    <row r="228" spans="1:14" ht="12.75" customHeight="1">
      <c r="A228" s="1011"/>
      <c r="B228" s="1196"/>
      <c r="C228" s="1033"/>
      <c r="D228" s="840"/>
      <c r="E228" s="839"/>
      <c r="F228" s="274" t="s">
        <v>24</v>
      </c>
      <c r="G228" s="391">
        <v>6190.5749999999998</v>
      </c>
      <c r="H228" s="840"/>
      <c r="I228" s="840"/>
    </row>
    <row r="229" spans="1:14" ht="12.75" customHeight="1">
      <c r="A229" s="1011"/>
      <c r="B229" s="1196"/>
      <c r="C229" s="1033"/>
      <c r="D229" s="840"/>
      <c r="E229" s="839"/>
      <c r="F229" s="274" t="s">
        <v>10</v>
      </c>
      <c r="G229" s="391">
        <v>0</v>
      </c>
      <c r="H229" s="840"/>
      <c r="I229" s="840"/>
    </row>
    <row r="230" spans="1:14" ht="12.75" customHeight="1">
      <c r="A230" s="1011"/>
      <c r="B230" s="1068"/>
      <c r="C230" s="1033"/>
      <c r="D230" s="840"/>
      <c r="E230" s="839"/>
      <c r="F230" s="274" t="s">
        <v>978</v>
      </c>
      <c r="G230" s="391">
        <v>0</v>
      </c>
      <c r="H230" s="840"/>
      <c r="I230" s="840"/>
    </row>
    <row r="231" spans="1:14" ht="13.95" customHeight="1">
      <c r="A231" s="1024"/>
      <c r="B231" s="1030" t="s">
        <v>378</v>
      </c>
      <c r="C231" s="1026" t="s">
        <v>9</v>
      </c>
      <c r="D231" s="1182" t="s">
        <v>9</v>
      </c>
      <c r="E231" s="1026" t="s">
        <v>9</v>
      </c>
      <c r="F231" s="266" t="s">
        <v>4</v>
      </c>
      <c r="G231" s="270">
        <f>G6+G69+G183</f>
        <v>114716.35513000001</v>
      </c>
      <c r="H231" s="1183" t="s">
        <v>9</v>
      </c>
      <c r="I231" s="1183"/>
    </row>
    <row r="232" spans="1:14" ht="13.95" customHeight="1">
      <c r="A232" s="1024"/>
      <c r="B232" s="1030"/>
      <c r="C232" s="1026"/>
      <c r="D232" s="1182"/>
      <c r="E232" s="1026"/>
      <c r="F232" s="266" t="s">
        <v>24</v>
      </c>
      <c r="G232" s="270">
        <f>G184</f>
        <v>67000</v>
      </c>
      <c r="H232" s="1183"/>
      <c r="I232" s="1183"/>
    </row>
    <row r="233" spans="1:14" ht="13.95" customHeight="1">
      <c r="A233" s="1024"/>
      <c r="B233" s="1030"/>
      <c r="C233" s="1026"/>
      <c r="D233" s="1182"/>
      <c r="E233" s="1026"/>
      <c r="F233" s="266" t="s">
        <v>10</v>
      </c>
      <c r="G233" s="270">
        <f>G7+G70+G185</f>
        <v>27999.999999999996</v>
      </c>
      <c r="H233" s="1183"/>
      <c r="I233" s="1183"/>
    </row>
    <row r="234" spans="1:14" ht="13.95" customHeight="1">
      <c r="A234" s="1024"/>
      <c r="B234" s="1030"/>
      <c r="C234" s="1026"/>
      <c r="D234" s="1182"/>
      <c r="E234" s="1026"/>
      <c r="F234" s="266" t="s">
        <v>978</v>
      </c>
      <c r="G234" s="270">
        <f>G8+G71+G186</f>
        <v>19716.355130000004</v>
      </c>
      <c r="H234" s="1183"/>
      <c r="I234" s="1183"/>
    </row>
    <row r="235" spans="1:14">
      <c r="G235" s="550">
        <f>G74+G162+G168+G177</f>
        <v>7875.4166599999999</v>
      </c>
      <c r="H235" s="551" t="s">
        <v>685</v>
      </c>
      <c r="I235" s="551"/>
      <c r="J235" s="551"/>
      <c r="K235" s="790"/>
      <c r="L235" s="545"/>
      <c r="M235" s="545"/>
      <c r="N235" s="544"/>
    </row>
    <row r="236" spans="1:14">
      <c r="G236" s="550">
        <f>G8+G80+G161+G179</f>
        <v>11710.938470000001</v>
      </c>
      <c r="H236" s="551" t="s">
        <v>1143</v>
      </c>
      <c r="I236" s="550">
        <f>G236-G8</f>
        <v>4905.9202000000005</v>
      </c>
      <c r="J236" s="551"/>
      <c r="K236" s="790"/>
      <c r="L236" s="545"/>
      <c r="M236" s="544"/>
      <c r="N236" s="544"/>
    </row>
    <row r="237" spans="1:14">
      <c r="G237" s="550">
        <f>G167</f>
        <v>0</v>
      </c>
      <c r="H237" s="551" t="s">
        <v>962</v>
      </c>
      <c r="I237" s="551"/>
      <c r="J237" s="551"/>
      <c r="K237" s="790"/>
      <c r="L237" s="544"/>
      <c r="M237" s="544"/>
      <c r="N237" s="544"/>
    </row>
    <row r="238" spans="1:14">
      <c r="G238" s="550">
        <f>G183</f>
        <v>67130</v>
      </c>
      <c r="H238" s="551" t="s">
        <v>1188</v>
      </c>
      <c r="I238" s="550">
        <f>G238-M238</f>
        <v>49851.190999999999</v>
      </c>
      <c r="J238" s="551"/>
      <c r="K238" s="790"/>
      <c r="L238" s="544" t="s">
        <v>1189</v>
      </c>
      <c r="M238" s="545">
        <f>G196+G204+G212</f>
        <v>17278.809000000001</v>
      </c>
      <c r="N238" s="544"/>
    </row>
    <row r="239" spans="1:14" ht="15.75" customHeight="1">
      <c r="G239" s="552"/>
      <c r="H239" s="1194"/>
      <c r="I239" s="1195"/>
      <c r="J239" s="551"/>
      <c r="K239" s="790"/>
      <c r="L239" s="544"/>
      <c r="M239" s="544"/>
      <c r="N239" s="544"/>
    </row>
    <row r="240" spans="1:14">
      <c r="G240" s="550"/>
      <c r="H240" s="551"/>
      <c r="I240" s="551"/>
      <c r="J240" s="551"/>
      <c r="K240" s="790"/>
      <c r="L240" s="544"/>
      <c r="M240" s="544"/>
      <c r="N240" s="544"/>
    </row>
  </sheetData>
  <mergeCells count="416">
    <mergeCell ref="A42:A44"/>
    <mergeCell ref="B42:B44"/>
    <mergeCell ref="C42:D42"/>
    <mergeCell ref="E42:E44"/>
    <mergeCell ref="H42:I44"/>
    <mergeCell ref="A39:A41"/>
    <mergeCell ref="B39:B41"/>
    <mergeCell ref="C39:D39"/>
    <mergeCell ref="E39:E41"/>
    <mergeCell ref="H39:I41"/>
    <mergeCell ref="C63:D63"/>
    <mergeCell ref="E63:E65"/>
    <mergeCell ref="E51:E53"/>
    <mergeCell ref="A180:A182"/>
    <mergeCell ref="B180:B182"/>
    <mergeCell ref="C180:C182"/>
    <mergeCell ref="D180:D182"/>
    <mergeCell ref="E180:E182"/>
    <mergeCell ref="H180:I182"/>
    <mergeCell ref="H168:I170"/>
    <mergeCell ref="H171:I173"/>
    <mergeCell ref="A171:A173"/>
    <mergeCell ref="B171:B173"/>
    <mergeCell ref="C171:C173"/>
    <mergeCell ref="D171:D173"/>
    <mergeCell ref="E171:E173"/>
    <mergeCell ref="A168:A170"/>
    <mergeCell ref="B168:B170"/>
    <mergeCell ref="C168:C170"/>
    <mergeCell ref="D168:D170"/>
    <mergeCell ref="E168:E170"/>
    <mergeCell ref="B165:B167"/>
    <mergeCell ref="C165:C167"/>
    <mergeCell ref="D165:D167"/>
    <mergeCell ref="H239:I239"/>
    <mergeCell ref="A231:A234"/>
    <mergeCell ref="B231:B234"/>
    <mergeCell ref="C231:C234"/>
    <mergeCell ref="D231:D234"/>
    <mergeCell ref="E231:E234"/>
    <mergeCell ref="H231:I234"/>
    <mergeCell ref="A174:A176"/>
    <mergeCell ref="B174:B176"/>
    <mergeCell ref="C174:C176"/>
    <mergeCell ref="D174:D176"/>
    <mergeCell ref="E174:E176"/>
    <mergeCell ref="H174:I176"/>
    <mergeCell ref="A177:A179"/>
    <mergeCell ref="B177:B179"/>
    <mergeCell ref="C177:C179"/>
    <mergeCell ref="D177:D179"/>
    <mergeCell ref="E177:E179"/>
    <mergeCell ref="H177:I179"/>
    <mergeCell ref="A183:A186"/>
    <mergeCell ref="B183:B186"/>
    <mergeCell ref="C183:C186"/>
    <mergeCell ref="D183:D186"/>
    <mergeCell ref="E183:E186"/>
    <mergeCell ref="E165:E167"/>
    <mergeCell ref="H165:I167"/>
    <mergeCell ref="A162:A164"/>
    <mergeCell ref="B162:B164"/>
    <mergeCell ref="C162:C164"/>
    <mergeCell ref="D162:D164"/>
    <mergeCell ref="E162:E164"/>
    <mergeCell ref="H162:I164"/>
    <mergeCell ref="A165:A167"/>
    <mergeCell ref="A159:A161"/>
    <mergeCell ref="B159:B161"/>
    <mergeCell ref="C159:C161"/>
    <mergeCell ref="D159:D161"/>
    <mergeCell ref="E159:E161"/>
    <mergeCell ref="H159:I161"/>
    <mergeCell ref="A156:A158"/>
    <mergeCell ref="B156:B158"/>
    <mergeCell ref="C156:C158"/>
    <mergeCell ref="D156:D158"/>
    <mergeCell ref="E156:E158"/>
    <mergeCell ref="H156:I158"/>
    <mergeCell ref="A153:A155"/>
    <mergeCell ref="B153:B155"/>
    <mergeCell ref="C153:C155"/>
    <mergeCell ref="D153:D155"/>
    <mergeCell ref="E153:E155"/>
    <mergeCell ref="H153:I155"/>
    <mergeCell ref="A150:A152"/>
    <mergeCell ref="B150:B152"/>
    <mergeCell ref="C150:C152"/>
    <mergeCell ref="D150:D152"/>
    <mergeCell ref="E150:E152"/>
    <mergeCell ref="H150:I152"/>
    <mergeCell ref="H105:I107"/>
    <mergeCell ref="A102:A104"/>
    <mergeCell ref="B102:B104"/>
    <mergeCell ref="C102:C104"/>
    <mergeCell ref="D102:D104"/>
    <mergeCell ref="E102:E104"/>
    <mergeCell ref="H102:I104"/>
    <mergeCell ref="A147:A149"/>
    <mergeCell ref="B147:B149"/>
    <mergeCell ref="C147:C149"/>
    <mergeCell ref="D147:D149"/>
    <mergeCell ref="E147:E149"/>
    <mergeCell ref="H147:I149"/>
    <mergeCell ref="A144:A146"/>
    <mergeCell ref="B144:B146"/>
    <mergeCell ref="C144:C146"/>
    <mergeCell ref="D144:D146"/>
    <mergeCell ref="E144:E146"/>
    <mergeCell ref="H144:I146"/>
    <mergeCell ref="H123:I125"/>
    <mergeCell ref="A111:A113"/>
    <mergeCell ref="B111:B113"/>
    <mergeCell ref="C111:C113"/>
    <mergeCell ref="D111:D113"/>
    <mergeCell ref="H93:I95"/>
    <mergeCell ref="A90:A92"/>
    <mergeCell ref="B90:B92"/>
    <mergeCell ref="C90:C92"/>
    <mergeCell ref="D90:D92"/>
    <mergeCell ref="E90:E92"/>
    <mergeCell ref="H90:I92"/>
    <mergeCell ref="A99:A101"/>
    <mergeCell ref="B99:B101"/>
    <mergeCell ref="C99:C101"/>
    <mergeCell ref="D99:D101"/>
    <mergeCell ref="E99:E101"/>
    <mergeCell ref="H99:I101"/>
    <mergeCell ref="A96:A98"/>
    <mergeCell ref="B96:B98"/>
    <mergeCell ref="C96:C98"/>
    <mergeCell ref="D96:D98"/>
    <mergeCell ref="E96:E98"/>
    <mergeCell ref="H96:I98"/>
    <mergeCell ref="H81:I83"/>
    <mergeCell ref="A78:A80"/>
    <mergeCell ref="B78:B80"/>
    <mergeCell ref="C78:C80"/>
    <mergeCell ref="D78:D80"/>
    <mergeCell ref="E78:E80"/>
    <mergeCell ref="H78:I80"/>
    <mergeCell ref="E81:E83"/>
    <mergeCell ref="A87:A89"/>
    <mergeCell ref="B87:B89"/>
    <mergeCell ref="C87:C89"/>
    <mergeCell ref="D87:D89"/>
    <mergeCell ref="E87:E89"/>
    <mergeCell ref="H87:I89"/>
    <mergeCell ref="A84:A86"/>
    <mergeCell ref="B84:B86"/>
    <mergeCell ref="C84:C86"/>
    <mergeCell ref="D84:D86"/>
    <mergeCell ref="H84:I86"/>
    <mergeCell ref="H66:I68"/>
    <mergeCell ref="A54:A56"/>
    <mergeCell ref="B54:B56"/>
    <mergeCell ref="C54:D54"/>
    <mergeCell ref="A75:A77"/>
    <mergeCell ref="B75:B77"/>
    <mergeCell ref="C75:C77"/>
    <mergeCell ref="D75:D77"/>
    <mergeCell ref="E75:E77"/>
    <mergeCell ref="H75:I77"/>
    <mergeCell ref="A72:A74"/>
    <mergeCell ref="B72:B74"/>
    <mergeCell ref="C72:C74"/>
    <mergeCell ref="D72:D74"/>
    <mergeCell ref="E72:E74"/>
    <mergeCell ref="H72:I74"/>
    <mergeCell ref="E54:E56"/>
    <mergeCell ref="H54:I56"/>
    <mergeCell ref="B57:B59"/>
    <mergeCell ref="A57:A59"/>
    <mergeCell ref="A60:A62"/>
    <mergeCell ref="B60:B62"/>
    <mergeCell ref="A63:A65"/>
    <mergeCell ref="B63:B65"/>
    <mergeCell ref="A27:A29"/>
    <mergeCell ref="B27:B29"/>
    <mergeCell ref="C27:D27"/>
    <mergeCell ref="E27:E29"/>
    <mergeCell ref="H27:I29"/>
    <mergeCell ref="A30:A32"/>
    <mergeCell ref="B30:B32"/>
    <mergeCell ref="C30:D30"/>
    <mergeCell ref="E30:E32"/>
    <mergeCell ref="H30:I32"/>
    <mergeCell ref="A21:A23"/>
    <mergeCell ref="B21:B23"/>
    <mergeCell ref="C21:D21"/>
    <mergeCell ref="E21:E23"/>
    <mergeCell ref="H21:I23"/>
    <mergeCell ref="A24:A26"/>
    <mergeCell ref="B24:B26"/>
    <mergeCell ref="C24:D24"/>
    <mergeCell ref="E24:E26"/>
    <mergeCell ref="H24:I26"/>
    <mergeCell ref="A12:A14"/>
    <mergeCell ref="B12:B14"/>
    <mergeCell ref="C12:D12"/>
    <mergeCell ref="E12:E14"/>
    <mergeCell ref="H12:I14"/>
    <mergeCell ref="A18:A20"/>
    <mergeCell ref="B18:B20"/>
    <mergeCell ref="C18:D18"/>
    <mergeCell ref="E18:E20"/>
    <mergeCell ref="H18:I20"/>
    <mergeCell ref="A15:A17"/>
    <mergeCell ref="B15:B17"/>
    <mergeCell ref="C15:D15"/>
    <mergeCell ref="E15:E17"/>
    <mergeCell ref="H15:I17"/>
    <mergeCell ref="A6:A8"/>
    <mergeCell ref="B6:B8"/>
    <mergeCell ref="C6:D6"/>
    <mergeCell ref="E6:E8"/>
    <mergeCell ref="H6:I8"/>
    <mergeCell ref="A9:A11"/>
    <mergeCell ref="B9:B11"/>
    <mergeCell ref="C9:D9"/>
    <mergeCell ref="E9:E11"/>
    <mergeCell ref="H9:I11"/>
    <mergeCell ref="F1:I1"/>
    <mergeCell ref="A2:I2"/>
    <mergeCell ref="A3:A5"/>
    <mergeCell ref="B3:B5"/>
    <mergeCell ref="C3:C5"/>
    <mergeCell ref="D3:D5"/>
    <mergeCell ref="E3:E5"/>
    <mergeCell ref="F3:F5"/>
    <mergeCell ref="G3:G5"/>
    <mergeCell ref="H3:I5"/>
    <mergeCell ref="H183:I186"/>
    <mergeCell ref="A187:A190"/>
    <mergeCell ref="B187:B190"/>
    <mergeCell ref="C187:C190"/>
    <mergeCell ref="D187:D190"/>
    <mergeCell ref="E187:E190"/>
    <mergeCell ref="H187:I190"/>
    <mergeCell ref="A191:A194"/>
    <mergeCell ref="B191:B194"/>
    <mergeCell ref="C191:C194"/>
    <mergeCell ref="D191:D194"/>
    <mergeCell ref="E191:E194"/>
    <mergeCell ref="H191:I194"/>
    <mergeCell ref="H195:I198"/>
    <mergeCell ref="A199:A202"/>
    <mergeCell ref="B199:B202"/>
    <mergeCell ref="C199:C202"/>
    <mergeCell ref="D199:D202"/>
    <mergeCell ref="E199:E202"/>
    <mergeCell ref="H199:I202"/>
    <mergeCell ref="E207:E210"/>
    <mergeCell ref="H207:I210"/>
    <mergeCell ref="A203:A206"/>
    <mergeCell ref="B203:B206"/>
    <mergeCell ref="C203:C206"/>
    <mergeCell ref="D203:D206"/>
    <mergeCell ref="E203:E206"/>
    <mergeCell ref="H203:I206"/>
    <mergeCell ref="A195:A198"/>
    <mergeCell ref="B195:B198"/>
    <mergeCell ref="C195:C198"/>
    <mergeCell ref="D195:D198"/>
    <mergeCell ref="E195:E198"/>
    <mergeCell ref="A215:A218"/>
    <mergeCell ref="B215:B218"/>
    <mergeCell ref="C215:C218"/>
    <mergeCell ref="D215:D218"/>
    <mergeCell ref="E215:E218"/>
    <mergeCell ref="H215:I218"/>
    <mergeCell ref="A227:A230"/>
    <mergeCell ref="B227:B230"/>
    <mergeCell ref="C227:C230"/>
    <mergeCell ref="D227:D230"/>
    <mergeCell ref="E227:E230"/>
    <mergeCell ref="H227:I230"/>
    <mergeCell ref="A223:A226"/>
    <mergeCell ref="B223:B226"/>
    <mergeCell ref="C223:C226"/>
    <mergeCell ref="D223:D226"/>
    <mergeCell ref="E223:E226"/>
    <mergeCell ref="H223:I226"/>
    <mergeCell ref="A33:A35"/>
    <mergeCell ref="B33:B35"/>
    <mergeCell ref="C33:D33"/>
    <mergeCell ref="E33:E35"/>
    <mergeCell ref="H33:I35"/>
    <mergeCell ref="C48:D48"/>
    <mergeCell ref="E48:E50"/>
    <mergeCell ref="H48:I50"/>
    <mergeCell ref="A219:A222"/>
    <mergeCell ref="B219:B222"/>
    <mergeCell ref="C219:C222"/>
    <mergeCell ref="D219:D222"/>
    <mergeCell ref="E219:E222"/>
    <mergeCell ref="H219:I222"/>
    <mergeCell ref="A207:A210"/>
    <mergeCell ref="B207:B210"/>
    <mergeCell ref="C207:C210"/>
    <mergeCell ref="D207:D210"/>
    <mergeCell ref="A211:A214"/>
    <mergeCell ref="B211:B214"/>
    <mergeCell ref="C211:C214"/>
    <mergeCell ref="D211:D214"/>
    <mergeCell ref="E211:E214"/>
    <mergeCell ref="H211:I214"/>
    <mergeCell ref="A36:A38"/>
    <mergeCell ref="B36:B38"/>
    <mergeCell ref="C36:D36"/>
    <mergeCell ref="E36:E38"/>
    <mergeCell ref="H36:I38"/>
    <mergeCell ref="A108:A110"/>
    <mergeCell ref="B108:B110"/>
    <mergeCell ref="C108:C110"/>
    <mergeCell ref="D108:D110"/>
    <mergeCell ref="E108:E110"/>
    <mergeCell ref="H108:I110"/>
    <mergeCell ref="A69:A71"/>
    <mergeCell ref="B69:B71"/>
    <mergeCell ref="C69:C71"/>
    <mergeCell ref="D69:D71"/>
    <mergeCell ref="E69:E71"/>
    <mergeCell ref="H69:I71"/>
    <mergeCell ref="A45:A47"/>
    <mergeCell ref="B45:B47"/>
    <mergeCell ref="C45:D45"/>
    <mergeCell ref="E45:E47"/>
    <mergeCell ref="H45:I47"/>
    <mergeCell ref="A48:A50"/>
    <mergeCell ref="B48:B50"/>
    <mergeCell ref="E111:E113"/>
    <mergeCell ref="H111:I113"/>
    <mergeCell ref="A114:A116"/>
    <mergeCell ref="B114:B116"/>
    <mergeCell ref="C114:C116"/>
    <mergeCell ref="D114:D116"/>
    <mergeCell ref="E114:E116"/>
    <mergeCell ref="H114:I116"/>
    <mergeCell ref="A117:A119"/>
    <mergeCell ref="B117:B119"/>
    <mergeCell ref="C117:C119"/>
    <mergeCell ref="D117:D119"/>
    <mergeCell ref="E117:E119"/>
    <mergeCell ref="H117:I119"/>
    <mergeCell ref="A129:A131"/>
    <mergeCell ref="B129:B131"/>
    <mergeCell ref="C129:C131"/>
    <mergeCell ref="D129:D131"/>
    <mergeCell ref="E129:E131"/>
    <mergeCell ref="H129:I131"/>
    <mergeCell ref="A120:A122"/>
    <mergeCell ref="B120:B122"/>
    <mergeCell ref="C120:C122"/>
    <mergeCell ref="D120:D122"/>
    <mergeCell ref="E120:E122"/>
    <mergeCell ref="H120:I122"/>
    <mergeCell ref="A126:A128"/>
    <mergeCell ref="B126:B128"/>
    <mergeCell ref="C126:C128"/>
    <mergeCell ref="D126:D128"/>
    <mergeCell ref="E126:E128"/>
    <mergeCell ref="H126:I128"/>
    <mergeCell ref="A123:A125"/>
    <mergeCell ref="B123:B125"/>
    <mergeCell ref="C123:C125"/>
    <mergeCell ref="D123:D125"/>
    <mergeCell ref="E123:E125"/>
    <mergeCell ref="A105:A107"/>
    <mergeCell ref="B105:B107"/>
    <mergeCell ref="C105:C107"/>
    <mergeCell ref="D105:D107"/>
    <mergeCell ref="E105:E107"/>
    <mergeCell ref="H141:I143"/>
    <mergeCell ref="A135:A137"/>
    <mergeCell ref="B135:B137"/>
    <mergeCell ref="C135:C137"/>
    <mergeCell ref="D135:D137"/>
    <mergeCell ref="E135:E137"/>
    <mergeCell ref="H135:I137"/>
    <mergeCell ref="A138:A140"/>
    <mergeCell ref="B138:B140"/>
    <mergeCell ref="C138:C140"/>
    <mergeCell ref="D138:D140"/>
    <mergeCell ref="E138:E140"/>
    <mergeCell ref="H138:I140"/>
    <mergeCell ref="A141:A143"/>
    <mergeCell ref="B141:B143"/>
    <mergeCell ref="C141:C143"/>
    <mergeCell ref="D141:D143"/>
    <mergeCell ref="E141:E143"/>
    <mergeCell ref="H132:I134"/>
    <mergeCell ref="B51:B53"/>
    <mergeCell ref="A51:A53"/>
    <mergeCell ref="H51:I53"/>
    <mergeCell ref="C51:D51"/>
    <mergeCell ref="H63:I65"/>
    <mergeCell ref="A132:A134"/>
    <mergeCell ref="B132:B134"/>
    <mergeCell ref="C132:C134"/>
    <mergeCell ref="D132:D134"/>
    <mergeCell ref="E132:E134"/>
    <mergeCell ref="A66:A68"/>
    <mergeCell ref="B66:B68"/>
    <mergeCell ref="C66:D66"/>
    <mergeCell ref="E66:E68"/>
    <mergeCell ref="A81:A83"/>
    <mergeCell ref="B81:B83"/>
    <mergeCell ref="C81:C83"/>
    <mergeCell ref="D81:D83"/>
    <mergeCell ref="E84:E86"/>
    <mergeCell ref="A93:A95"/>
    <mergeCell ref="B93:B95"/>
    <mergeCell ref="C93:C95"/>
    <mergeCell ref="D93:D95"/>
    <mergeCell ref="E93:E95"/>
  </mergeCells>
  <pageMargins left="0.78740157480314965" right="0.39370078740157483" top="0" bottom="0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X116"/>
  <sheetViews>
    <sheetView workbookViewId="0">
      <selection activeCell="G113" sqref="G113"/>
    </sheetView>
  </sheetViews>
  <sheetFormatPr defaultColWidth="8.88671875" defaultRowHeight="14.4"/>
  <cols>
    <col min="1" max="1" width="6.44140625" style="433" customWidth="1"/>
    <col min="2" max="2" width="52.6640625" style="433" customWidth="1"/>
    <col min="3" max="5" width="8.88671875" style="433"/>
    <col min="6" max="6" width="18.33203125" style="438" customWidth="1"/>
    <col min="7" max="7" width="17.6640625" style="433" customWidth="1"/>
    <col min="8" max="8" width="8.88671875" style="433"/>
    <col min="9" max="9" width="11.33203125" style="433" customWidth="1"/>
    <col min="10" max="10" width="19.88671875" style="425" customWidth="1"/>
    <col min="11" max="11" width="13.6640625" style="425" customWidth="1"/>
    <col min="12" max="24" width="8.88671875" style="425"/>
    <col min="25" max="16384" width="8.88671875" style="254"/>
  </cols>
  <sheetData>
    <row r="1" spans="1:9" ht="35.4" customHeight="1">
      <c r="F1" s="1192" t="s">
        <v>935</v>
      </c>
      <c r="G1" s="1192"/>
      <c r="H1" s="1192"/>
      <c r="I1" s="1192"/>
    </row>
    <row r="2" spans="1:9" ht="21" customHeight="1">
      <c r="A2" s="1193" t="s">
        <v>771</v>
      </c>
      <c r="B2" s="1193"/>
      <c r="C2" s="1193"/>
      <c r="D2" s="1193"/>
      <c r="E2" s="1193"/>
      <c r="F2" s="1193"/>
      <c r="G2" s="1193"/>
      <c r="H2" s="1193"/>
      <c r="I2" s="1193"/>
    </row>
    <row r="3" spans="1:9" ht="15" customHeight="1">
      <c r="A3" s="1038" t="s">
        <v>0</v>
      </c>
      <c r="B3" s="1039" t="s">
        <v>6</v>
      </c>
      <c r="C3" s="1039" t="s">
        <v>7</v>
      </c>
      <c r="D3" s="1040" t="s">
        <v>79</v>
      </c>
      <c r="E3" s="1039" t="s">
        <v>369</v>
      </c>
      <c r="F3" s="1039" t="s">
        <v>76</v>
      </c>
      <c r="G3" s="1041" t="s">
        <v>77</v>
      </c>
      <c r="H3" s="1041" t="s">
        <v>370</v>
      </c>
      <c r="I3" s="1041"/>
    </row>
    <row r="4" spans="1:9">
      <c r="A4" s="1038"/>
      <c r="B4" s="1039"/>
      <c r="C4" s="1039"/>
      <c r="D4" s="1040"/>
      <c r="E4" s="1039"/>
      <c r="F4" s="1039"/>
      <c r="G4" s="1041"/>
      <c r="H4" s="1041"/>
      <c r="I4" s="1041"/>
    </row>
    <row r="5" spans="1:9" ht="12.6" customHeight="1">
      <c r="A5" s="1038"/>
      <c r="B5" s="1039"/>
      <c r="C5" s="1039"/>
      <c r="D5" s="1040"/>
      <c r="E5" s="1039"/>
      <c r="F5" s="1039"/>
      <c r="G5" s="1041"/>
      <c r="H5" s="1041"/>
      <c r="I5" s="1041"/>
    </row>
    <row r="6" spans="1:9" ht="19.5" customHeight="1">
      <c r="A6" s="1024" t="s">
        <v>3</v>
      </c>
      <c r="B6" s="1030" t="s">
        <v>371</v>
      </c>
      <c r="C6" s="1026"/>
      <c r="D6" s="1026"/>
      <c r="E6" s="1183" t="s">
        <v>767</v>
      </c>
      <c r="F6" s="266" t="s">
        <v>4</v>
      </c>
      <c r="G6" s="267">
        <f>SUM(G7:G8)</f>
        <v>56980</v>
      </c>
      <c r="H6" s="1183" t="s">
        <v>9</v>
      </c>
      <c r="I6" s="1183"/>
    </row>
    <row r="7" spans="1:9" ht="19.5" customHeight="1">
      <c r="A7" s="1024"/>
      <c r="B7" s="1030"/>
      <c r="C7" s="780" t="s">
        <v>131</v>
      </c>
      <c r="D7" s="269">
        <f>D10+D31</f>
        <v>0</v>
      </c>
      <c r="E7" s="1183"/>
      <c r="F7" s="266" t="s">
        <v>10</v>
      </c>
      <c r="G7" s="267">
        <f>G10+G31</f>
        <v>50000</v>
      </c>
      <c r="H7" s="1183"/>
      <c r="I7" s="1183"/>
    </row>
    <row r="8" spans="1:9" ht="19.5" customHeight="1">
      <c r="A8" s="1024"/>
      <c r="B8" s="1030"/>
      <c r="C8" s="780" t="s">
        <v>215</v>
      </c>
      <c r="D8" s="269">
        <f>D11+D32</f>
        <v>25000</v>
      </c>
      <c r="E8" s="1183"/>
      <c r="F8" s="266" t="s">
        <v>978</v>
      </c>
      <c r="G8" s="267">
        <f>G11+G32</f>
        <v>6980</v>
      </c>
      <c r="H8" s="1183"/>
      <c r="I8" s="1183"/>
    </row>
    <row r="9" spans="1:9" ht="15" customHeight="1">
      <c r="A9" s="1029" t="s">
        <v>82</v>
      </c>
      <c r="B9" s="1030" t="s">
        <v>83</v>
      </c>
      <c r="C9" s="1026"/>
      <c r="D9" s="1026"/>
      <c r="E9" s="1183" t="s">
        <v>767</v>
      </c>
      <c r="F9" s="266" t="s">
        <v>4</v>
      </c>
      <c r="G9" s="272">
        <f>SUM(G10:G11)</f>
        <v>56980</v>
      </c>
      <c r="H9" s="1039" t="s">
        <v>84</v>
      </c>
      <c r="I9" s="1039"/>
    </row>
    <row r="10" spans="1:9" ht="15" customHeight="1">
      <c r="A10" s="1029"/>
      <c r="B10" s="1030"/>
      <c r="C10" s="780" t="s">
        <v>131</v>
      </c>
      <c r="D10" s="783">
        <f>D13+D16+D19+D22</f>
        <v>0</v>
      </c>
      <c r="E10" s="1183"/>
      <c r="F10" s="266" t="s">
        <v>10</v>
      </c>
      <c r="G10" s="272">
        <v>50000</v>
      </c>
      <c r="H10" s="1039"/>
      <c r="I10" s="1039"/>
    </row>
    <row r="11" spans="1:9" ht="15" customHeight="1">
      <c r="A11" s="1029"/>
      <c r="B11" s="1030"/>
      <c r="C11" s="780" t="s">
        <v>215</v>
      </c>
      <c r="D11" s="783">
        <v>25000</v>
      </c>
      <c r="E11" s="1183"/>
      <c r="F11" s="266" t="s">
        <v>978</v>
      </c>
      <c r="G11" s="272">
        <v>6980</v>
      </c>
      <c r="H11" s="1039"/>
      <c r="I11" s="1039"/>
    </row>
    <row r="12" spans="1:9" ht="16.2" hidden="1" customHeight="1">
      <c r="A12" s="1011" t="s">
        <v>35</v>
      </c>
      <c r="B12" s="1196"/>
      <c r="C12" s="1033"/>
      <c r="D12" s="1033"/>
      <c r="E12" s="1032"/>
      <c r="F12" s="434" t="s">
        <v>4</v>
      </c>
      <c r="G12" s="393">
        <f>SUM(G13:G14)</f>
        <v>0</v>
      </c>
      <c r="H12" s="840" t="s">
        <v>84</v>
      </c>
      <c r="I12" s="840"/>
    </row>
    <row r="13" spans="1:9" ht="16.2" hidden="1" customHeight="1">
      <c r="A13" s="1011"/>
      <c r="B13" s="1196"/>
      <c r="C13" s="781" t="s">
        <v>131</v>
      </c>
      <c r="D13" s="436"/>
      <c r="E13" s="1032"/>
      <c r="F13" s="437" t="s">
        <v>10</v>
      </c>
      <c r="G13" s="391"/>
      <c r="H13" s="840"/>
      <c r="I13" s="840"/>
    </row>
    <row r="14" spans="1:9" ht="15.6" hidden="1" customHeight="1">
      <c r="A14" s="1011"/>
      <c r="B14" s="1196"/>
      <c r="C14" s="781" t="s">
        <v>215</v>
      </c>
      <c r="D14" s="436"/>
      <c r="E14" s="1032"/>
      <c r="F14" s="437" t="s">
        <v>978</v>
      </c>
      <c r="G14" s="391"/>
      <c r="H14" s="840"/>
      <c r="I14" s="840"/>
    </row>
    <row r="15" spans="1:9" ht="18" hidden="1" customHeight="1">
      <c r="A15" s="1011" t="s">
        <v>40</v>
      </c>
      <c r="B15" s="1196"/>
      <c r="C15" s="1033"/>
      <c r="D15" s="1033"/>
      <c r="E15" s="1032"/>
      <c r="F15" s="434" t="s">
        <v>4</v>
      </c>
      <c r="G15" s="393">
        <f>SUM(G16:G17)</f>
        <v>0</v>
      </c>
      <c r="H15" s="840" t="s">
        <v>84</v>
      </c>
      <c r="I15" s="840"/>
    </row>
    <row r="16" spans="1:9" ht="18" hidden="1" customHeight="1">
      <c r="A16" s="1011"/>
      <c r="B16" s="1196"/>
      <c r="C16" s="781" t="s">
        <v>131</v>
      </c>
      <c r="D16" s="436"/>
      <c r="E16" s="1032"/>
      <c r="F16" s="437" t="s">
        <v>10</v>
      </c>
      <c r="G16" s="391"/>
      <c r="H16" s="840"/>
      <c r="I16" s="840"/>
    </row>
    <row r="17" spans="1:9" ht="18" hidden="1" customHeight="1">
      <c r="A17" s="1011"/>
      <c r="B17" s="1196"/>
      <c r="C17" s="781" t="s">
        <v>215</v>
      </c>
      <c r="D17" s="436"/>
      <c r="E17" s="1032"/>
      <c r="F17" s="437" t="s">
        <v>978</v>
      </c>
      <c r="G17" s="391"/>
      <c r="H17" s="840"/>
      <c r="I17" s="840"/>
    </row>
    <row r="18" spans="1:9" ht="16.2" hidden="1" customHeight="1">
      <c r="A18" s="1086" t="s">
        <v>200</v>
      </c>
      <c r="B18" s="1068"/>
      <c r="C18" s="1188"/>
      <c r="D18" s="1189"/>
      <c r="E18" s="1032"/>
      <c r="F18" s="434" t="s">
        <v>4</v>
      </c>
      <c r="G18" s="393">
        <f>SUM(G19:G20)</f>
        <v>0</v>
      </c>
      <c r="H18" s="1045" t="s">
        <v>84</v>
      </c>
      <c r="I18" s="1046"/>
    </row>
    <row r="19" spans="1:9" ht="16.2" hidden="1" customHeight="1">
      <c r="A19" s="1072"/>
      <c r="B19" s="1069"/>
      <c r="C19" s="781" t="s">
        <v>131</v>
      </c>
      <c r="D19" s="436"/>
      <c r="E19" s="1032"/>
      <c r="F19" s="437" t="s">
        <v>10</v>
      </c>
      <c r="G19" s="391"/>
      <c r="H19" s="1047"/>
      <c r="I19" s="1048"/>
    </row>
    <row r="20" spans="1:9" ht="16.2" hidden="1" customHeight="1">
      <c r="A20" s="1072"/>
      <c r="B20" s="1069"/>
      <c r="C20" s="781" t="s">
        <v>215</v>
      </c>
      <c r="D20" s="436"/>
      <c r="E20" s="1032"/>
      <c r="F20" s="437" t="s">
        <v>978</v>
      </c>
      <c r="G20" s="391"/>
      <c r="H20" s="1047"/>
      <c r="I20" s="1048"/>
    </row>
    <row r="21" spans="1:9" ht="16.2" hidden="1" customHeight="1">
      <c r="A21" s="1086" t="s">
        <v>201</v>
      </c>
      <c r="B21" s="1068"/>
      <c r="C21" s="1188"/>
      <c r="D21" s="1189"/>
      <c r="E21" s="1032"/>
      <c r="F21" s="434" t="s">
        <v>4</v>
      </c>
      <c r="G21" s="393">
        <f>SUM(G22:G23)</f>
        <v>0</v>
      </c>
      <c r="H21" s="1045" t="s">
        <v>84</v>
      </c>
      <c r="I21" s="1046"/>
    </row>
    <row r="22" spans="1:9" ht="16.2" hidden="1" customHeight="1">
      <c r="A22" s="1072"/>
      <c r="B22" s="1069"/>
      <c r="C22" s="781" t="s">
        <v>131</v>
      </c>
      <c r="D22" s="436"/>
      <c r="E22" s="1032"/>
      <c r="F22" s="437" t="s">
        <v>10</v>
      </c>
      <c r="G22" s="391"/>
      <c r="H22" s="1047"/>
      <c r="I22" s="1048"/>
    </row>
    <row r="23" spans="1:9" ht="16.2" hidden="1" customHeight="1">
      <c r="A23" s="1072"/>
      <c r="B23" s="1069"/>
      <c r="C23" s="781" t="s">
        <v>215</v>
      </c>
      <c r="D23" s="436"/>
      <c r="E23" s="1032"/>
      <c r="F23" s="437" t="s">
        <v>978</v>
      </c>
      <c r="G23" s="391"/>
      <c r="H23" s="1047"/>
      <c r="I23" s="1048"/>
    </row>
    <row r="24" spans="1:9" ht="16.2" hidden="1" customHeight="1">
      <c r="A24" s="1086" t="s">
        <v>205</v>
      </c>
      <c r="B24" s="1068"/>
      <c r="C24" s="1188"/>
      <c r="D24" s="1189"/>
      <c r="E24" s="1032"/>
      <c r="F24" s="434" t="s">
        <v>4</v>
      </c>
      <c r="G24" s="393">
        <f>SUM(G25:G26)</f>
        <v>0</v>
      </c>
      <c r="H24" s="1045" t="s">
        <v>84</v>
      </c>
      <c r="I24" s="1046"/>
    </row>
    <row r="25" spans="1:9" ht="16.2" hidden="1" customHeight="1">
      <c r="A25" s="1072"/>
      <c r="B25" s="1069"/>
      <c r="C25" s="781" t="s">
        <v>131</v>
      </c>
      <c r="D25" s="436"/>
      <c r="E25" s="1032"/>
      <c r="F25" s="437" t="s">
        <v>10</v>
      </c>
      <c r="G25" s="391"/>
      <c r="H25" s="1047"/>
      <c r="I25" s="1048"/>
    </row>
    <row r="26" spans="1:9" ht="16.2" hidden="1" customHeight="1">
      <c r="A26" s="1072"/>
      <c r="B26" s="1069"/>
      <c r="C26" s="781" t="s">
        <v>215</v>
      </c>
      <c r="D26" s="436"/>
      <c r="E26" s="1032"/>
      <c r="F26" s="437" t="s">
        <v>978</v>
      </c>
      <c r="G26" s="391"/>
      <c r="H26" s="1047"/>
      <c r="I26" s="1048"/>
    </row>
    <row r="27" spans="1:9" ht="16.2" hidden="1" customHeight="1">
      <c r="A27" s="1086" t="s">
        <v>355</v>
      </c>
      <c r="B27" s="1068"/>
      <c r="C27" s="1188"/>
      <c r="D27" s="1189"/>
      <c r="E27" s="1032"/>
      <c r="F27" s="434" t="s">
        <v>4</v>
      </c>
      <c r="G27" s="393">
        <f>SUM(G28:G29)</f>
        <v>0</v>
      </c>
      <c r="H27" s="1045" t="s">
        <v>84</v>
      </c>
      <c r="I27" s="1046"/>
    </row>
    <row r="28" spans="1:9" ht="16.2" hidden="1" customHeight="1">
      <c r="A28" s="1072"/>
      <c r="B28" s="1069"/>
      <c r="C28" s="781" t="s">
        <v>131</v>
      </c>
      <c r="D28" s="436"/>
      <c r="E28" s="1032"/>
      <c r="F28" s="437" t="s">
        <v>10</v>
      </c>
      <c r="G28" s="391"/>
      <c r="H28" s="1047"/>
      <c r="I28" s="1048"/>
    </row>
    <row r="29" spans="1:9" ht="16.2" hidden="1" customHeight="1">
      <c r="A29" s="1072"/>
      <c r="B29" s="1069"/>
      <c r="C29" s="781" t="s">
        <v>215</v>
      </c>
      <c r="D29" s="436"/>
      <c r="E29" s="1032"/>
      <c r="F29" s="437" t="s">
        <v>978</v>
      </c>
      <c r="G29" s="391"/>
      <c r="H29" s="1047"/>
      <c r="I29" s="1048"/>
    </row>
    <row r="30" spans="1:9" ht="18" customHeight="1">
      <c r="A30" s="1029" t="s">
        <v>498</v>
      </c>
      <c r="B30" s="1030" t="s">
        <v>499</v>
      </c>
      <c r="C30" s="1026"/>
      <c r="D30" s="1026"/>
      <c r="E30" s="1183" t="s">
        <v>9</v>
      </c>
      <c r="F30" s="266" t="s">
        <v>4</v>
      </c>
      <c r="G30" s="270">
        <f>SUM(G31:G32)</f>
        <v>0</v>
      </c>
      <c r="H30" s="1039" t="s">
        <v>9</v>
      </c>
      <c r="I30" s="1039"/>
    </row>
    <row r="31" spans="1:9" ht="18" customHeight="1">
      <c r="A31" s="1029"/>
      <c r="B31" s="1030"/>
      <c r="C31" s="780" t="s">
        <v>131</v>
      </c>
      <c r="D31" s="783">
        <f>D34</f>
        <v>0</v>
      </c>
      <c r="E31" s="1183"/>
      <c r="F31" s="266" t="s">
        <v>10</v>
      </c>
      <c r="G31" s="272">
        <f>G34</f>
        <v>0</v>
      </c>
      <c r="H31" s="1039"/>
      <c r="I31" s="1039"/>
    </row>
    <row r="32" spans="1:9" ht="18" customHeight="1">
      <c r="A32" s="1029"/>
      <c r="B32" s="1030"/>
      <c r="C32" s="780" t="s">
        <v>215</v>
      </c>
      <c r="D32" s="783">
        <f>D35</f>
        <v>0</v>
      </c>
      <c r="E32" s="1183"/>
      <c r="F32" s="266" t="s">
        <v>978</v>
      </c>
      <c r="G32" s="272">
        <f>G35</f>
        <v>0</v>
      </c>
      <c r="H32" s="1039"/>
      <c r="I32" s="1039"/>
    </row>
    <row r="33" spans="1:10" ht="18" hidden="1" customHeight="1">
      <c r="A33" s="1011" t="s">
        <v>108</v>
      </c>
      <c r="B33" s="1012" t="s">
        <v>1018</v>
      </c>
      <c r="C33" s="1013"/>
      <c r="D33" s="1013"/>
      <c r="E33" s="839" t="s">
        <v>770</v>
      </c>
      <c r="F33" s="266" t="s">
        <v>4</v>
      </c>
      <c r="G33" s="393">
        <f>SUM(G34:G35)</f>
        <v>0</v>
      </c>
      <c r="H33" s="840" t="s">
        <v>84</v>
      </c>
      <c r="I33" s="840"/>
    </row>
    <row r="34" spans="1:10" ht="18" hidden="1" customHeight="1">
      <c r="A34" s="1011"/>
      <c r="B34" s="1012"/>
      <c r="C34" s="779" t="s">
        <v>131</v>
      </c>
      <c r="D34" s="273"/>
      <c r="E34" s="839"/>
      <c r="F34" s="274" t="s">
        <v>10</v>
      </c>
      <c r="G34" s="391">
        <v>0</v>
      </c>
      <c r="H34" s="840"/>
      <c r="I34" s="840"/>
    </row>
    <row r="35" spans="1:10" ht="18" hidden="1" customHeight="1">
      <c r="A35" s="1011"/>
      <c r="B35" s="1012"/>
      <c r="C35" s="779" t="s">
        <v>215</v>
      </c>
      <c r="D35" s="273"/>
      <c r="E35" s="839"/>
      <c r="F35" s="437" t="s">
        <v>978</v>
      </c>
      <c r="G35" s="391">
        <v>0</v>
      </c>
      <c r="H35" s="840"/>
      <c r="I35" s="840"/>
      <c r="J35" s="581" t="s">
        <v>1019</v>
      </c>
    </row>
    <row r="36" spans="1:10" ht="15.75" customHeight="1">
      <c r="A36" s="1055">
        <v>2</v>
      </c>
      <c r="B36" s="1203" t="s">
        <v>670</v>
      </c>
      <c r="C36" s="1061" t="s">
        <v>9</v>
      </c>
      <c r="D36" s="1064" t="s">
        <v>9</v>
      </c>
      <c r="E36" s="1185" t="s">
        <v>9</v>
      </c>
      <c r="F36" s="266" t="s">
        <v>4</v>
      </c>
      <c r="G36" s="270">
        <f>SUM(G37:G38)</f>
        <v>9704.7853299999988</v>
      </c>
      <c r="H36" s="1039" t="s">
        <v>9</v>
      </c>
      <c r="I36" s="1039"/>
      <c r="J36" s="578"/>
    </row>
    <row r="37" spans="1:10" ht="15.75" customHeight="1">
      <c r="A37" s="1056"/>
      <c r="B37" s="1203"/>
      <c r="C37" s="1062"/>
      <c r="D37" s="1065"/>
      <c r="E37" s="1186"/>
      <c r="F37" s="266" t="s">
        <v>10</v>
      </c>
      <c r="G37" s="270">
        <f>G40+G46+G76+G100</f>
        <v>0</v>
      </c>
      <c r="H37" s="1039"/>
      <c r="I37" s="1039"/>
      <c r="J37" s="579"/>
    </row>
    <row r="38" spans="1:10" ht="15.75" customHeight="1">
      <c r="A38" s="1056"/>
      <c r="B38" s="1203"/>
      <c r="C38" s="1062"/>
      <c r="D38" s="1065"/>
      <c r="E38" s="1186"/>
      <c r="F38" s="266" t="s">
        <v>978</v>
      </c>
      <c r="G38" s="270">
        <f>G41+G47+G77+G101</f>
        <v>9704.7853299999988</v>
      </c>
      <c r="H38" s="1039"/>
      <c r="I38" s="1039"/>
      <c r="J38" s="579"/>
    </row>
    <row r="39" spans="1:10" ht="16.95" customHeight="1">
      <c r="A39" s="1238" t="s">
        <v>366</v>
      </c>
      <c r="B39" s="1068" t="s">
        <v>672</v>
      </c>
      <c r="C39" s="1061" t="s">
        <v>9</v>
      </c>
      <c r="D39" s="1064" t="s">
        <v>9</v>
      </c>
      <c r="E39" s="1185" t="s">
        <v>9</v>
      </c>
      <c r="F39" s="266" t="s">
        <v>4</v>
      </c>
      <c r="G39" s="270">
        <f>G40+G41</f>
        <v>5524.7853299999997</v>
      </c>
      <c r="H39" s="840" t="s">
        <v>87</v>
      </c>
      <c r="I39" s="840"/>
    </row>
    <row r="40" spans="1:10" ht="16.95" customHeight="1">
      <c r="A40" s="1239"/>
      <c r="B40" s="1069"/>
      <c r="C40" s="1062"/>
      <c r="D40" s="1065"/>
      <c r="E40" s="1186"/>
      <c r="F40" s="266" t="s">
        <v>10</v>
      </c>
      <c r="G40" s="270">
        <f>G43</f>
        <v>0</v>
      </c>
      <c r="H40" s="840"/>
      <c r="I40" s="840"/>
    </row>
    <row r="41" spans="1:10" ht="16.95" customHeight="1">
      <c r="A41" s="1239"/>
      <c r="B41" s="1069"/>
      <c r="C41" s="1062"/>
      <c r="D41" s="1065"/>
      <c r="E41" s="1186"/>
      <c r="F41" s="266" t="s">
        <v>978</v>
      </c>
      <c r="G41" s="270">
        <v>5524.7853299999997</v>
      </c>
      <c r="H41" s="840"/>
      <c r="I41" s="840"/>
    </row>
    <row r="42" spans="1:10" ht="15" hidden="1" customHeight="1">
      <c r="A42" s="1237" t="s">
        <v>169</v>
      </c>
      <c r="B42" s="1069"/>
      <c r="C42" s="1026" t="s">
        <v>43</v>
      </c>
      <c r="D42" s="1026"/>
      <c r="E42" s="1183" t="s">
        <v>579</v>
      </c>
      <c r="F42" s="266" t="s">
        <v>4</v>
      </c>
      <c r="G42" s="270">
        <f>G43+G44</f>
        <v>0</v>
      </c>
      <c r="H42" s="840"/>
      <c r="I42" s="840"/>
    </row>
    <row r="43" spans="1:10" ht="15" hidden="1" customHeight="1">
      <c r="A43" s="1237"/>
      <c r="B43" s="1069"/>
      <c r="C43" s="1026"/>
      <c r="D43" s="1026"/>
      <c r="E43" s="1183"/>
      <c r="F43" s="266" t="s">
        <v>10</v>
      </c>
      <c r="G43" s="272"/>
      <c r="H43" s="840"/>
      <c r="I43" s="840"/>
    </row>
    <row r="44" spans="1:10" ht="15" hidden="1" customHeight="1">
      <c r="A44" s="1237"/>
      <c r="B44" s="1070"/>
      <c r="C44" s="1026"/>
      <c r="D44" s="1026"/>
      <c r="E44" s="1183"/>
      <c r="F44" s="266" t="s">
        <v>11</v>
      </c>
      <c r="G44" s="270"/>
      <c r="H44" s="840"/>
      <c r="I44" s="840"/>
    </row>
    <row r="45" spans="1:10" ht="19.95" customHeight="1">
      <c r="A45" s="1241" t="s">
        <v>544</v>
      </c>
      <c r="B45" s="1196" t="s">
        <v>952</v>
      </c>
      <c r="C45" s="1061" t="s">
        <v>73</v>
      </c>
      <c r="D45" s="1242">
        <v>2.8</v>
      </c>
      <c r="E45" s="1183" t="s">
        <v>9</v>
      </c>
      <c r="F45" s="266" t="s">
        <v>4</v>
      </c>
      <c r="G45" s="270">
        <f>SUM(G46:G47)</f>
        <v>2680</v>
      </c>
      <c r="H45" s="840" t="s">
        <v>84</v>
      </c>
      <c r="I45" s="840"/>
      <c r="J45" s="435"/>
    </row>
    <row r="46" spans="1:10" ht="19.95" customHeight="1">
      <c r="A46" s="1241"/>
      <c r="B46" s="1196"/>
      <c r="C46" s="1062"/>
      <c r="D46" s="1243"/>
      <c r="E46" s="1183"/>
      <c r="F46" s="266" t="s">
        <v>10</v>
      </c>
      <c r="G46" s="270">
        <f>G49+G61</f>
        <v>0</v>
      </c>
      <c r="H46" s="840"/>
      <c r="I46" s="840"/>
    </row>
    <row r="47" spans="1:10" ht="19.95" customHeight="1">
      <c r="A47" s="1241"/>
      <c r="B47" s="1196"/>
      <c r="C47" s="1062"/>
      <c r="D47" s="1243"/>
      <c r="E47" s="1183"/>
      <c r="F47" s="266" t="s">
        <v>978</v>
      </c>
      <c r="G47" s="270">
        <f>889.7+1790.3</f>
        <v>2680</v>
      </c>
      <c r="H47" s="840"/>
      <c r="I47" s="840"/>
    </row>
    <row r="48" spans="1:10" ht="15" hidden="1" customHeight="1">
      <c r="A48" s="1237" t="s">
        <v>958</v>
      </c>
      <c r="B48" s="1141"/>
      <c r="C48" s="839" t="s">
        <v>73</v>
      </c>
      <c r="D48" s="839"/>
      <c r="E48" s="839"/>
      <c r="F48" s="266" t="s">
        <v>4</v>
      </c>
      <c r="G48" s="393">
        <f>SUM(G49:G50)</f>
        <v>0</v>
      </c>
      <c r="H48" s="840" t="s">
        <v>84</v>
      </c>
      <c r="I48" s="840"/>
    </row>
    <row r="49" spans="1:9" ht="15" hidden="1" customHeight="1">
      <c r="A49" s="1237"/>
      <c r="B49" s="1240"/>
      <c r="C49" s="839"/>
      <c r="D49" s="839"/>
      <c r="E49" s="839"/>
      <c r="F49" s="274" t="s">
        <v>10</v>
      </c>
      <c r="G49" s="391">
        <v>0</v>
      </c>
      <c r="H49" s="840"/>
      <c r="I49" s="840"/>
    </row>
    <row r="50" spans="1:9" ht="15" hidden="1" customHeight="1">
      <c r="A50" s="1237"/>
      <c r="B50" s="1240"/>
      <c r="C50" s="839"/>
      <c r="D50" s="839"/>
      <c r="E50" s="839"/>
      <c r="F50" s="274" t="s">
        <v>978</v>
      </c>
      <c r="G50" s="391"/>
      <c r="H50" s="840"/>
      <c r="I50" s="840"/>
    </row>
    <row r="51" spans="1:9" ht="15" hidden="1" customHeight="1">
      <c r="A51" s="1237" t="s">
        <v>960</v>
      </c>
      <c r="B51" s="1141"/>
      <c r="C51" s="839" t="s">
        <v>73</v>
      </c>
      <c r="D51" s="839"/>
      <c r="E51" s="839"/>
      <c r="F51" s="266" t="s">
        <v>4</v>
      </c>
      <c r="G51" s="393">
        <f>SUM(G52:G53)</f>
        <v>0</v>
      </c>
      <c r="H51" s="840" t="s">
        <v>84</v>
      </c>
      <c r="I51" s="840"/>
    </row>
    <row r="52" spans="1:9" ht="15" hidden="1" customHeight="1">
      <c r="A52" s="1237"/>
      <c r="B52" s="1240"/>
      <c r="C52" s="839"/>
      <c r="D52" s="839"/>
      <c r="E52" s="839"/>
      <c r="F52" s="274" t="s">
        <v>10</v>
      </c>
      <c r="G52" s="391">
        <v>0</v>
      </c>
      <c r="H52" s="840"/>
      <c r="I52" s="840"/>
    </row>
    <row r="53" spans="1:9" ht="15" hidden="1" customHeight="1">
      <c r="A53" s="1237"/>
      <c r="B53" s="1240"/>
      <c r="C53" s="839"/>
      <c r="D53" s="839"/>
      <c r="E53" s="839"/>
      <c r="F53" s="274" t="s">
        <v>978</v>
      </c>
      <c r="G53" s="391"/>
      <c r="H53" s="840"/>
      <c r="I53" s="840"/>
    </row>
    <row r="54" spans="1:9" ht="15" hidden="1" customHeight="1">
      <c r="A54" s="1237" t="s">
        <v>993</v>
      </c>
      <c r="B54" s="1141"/>
      <c r="C54" s="839" t="s">
        <v>73</v>
      </c>
      <c r="D54" s="839"/>
      <c r="E54" s="839"/>
      <c r="F54" s="266" t="s">
        <v>4</v>
      </c>
      <c r="G54" s="393">
        <f t="shared" ref="G54" si="0">SUM(G55:G56)</f>
        <v>0</v>
      </c>
      <c r="H54" s="840" t="s">
        <v>84</v>
      </c>
      <c r="I54" s="840"/>
    </row>
    <row r="55" spans="1:9" ht="15" hidden="1" customHeight="1">
      <c r="A55" s="1237"/>
      <c r="B55" s="1240"/>
      <c r="C55" s="839"/>
      <c r="D55" s="839"/>
      <c r="E55" s="839"/>
      <c r="F55" s="274" t="s">
        <v>10</v>
      </c>
      <c r="G55" s="391">
        <v>0</v>
      </c>
      <c r="H55" s="840"/>
      <c r="I55" s="840"/>
    </row>
    <row r="56" spans="1:9" ht="15" hidden="1" customHeight="1">
      <c r="A56" s="1237"/>
      <c r="B56" s="1240"/>
      <c r="C56" s="839"/>
      <c r="D56" s="839"/>
      <c r="E56" s="839"/>
      <c r="F56" s="274" t="s">
        <v>978</v>
      </c>
      <c r="G56" s="391"/>
      <c r="H56" s="840"/>
      <c r="I56" s="840"/>
    </row>
    <row r="57" spans="1:9" ht="15" hidden="1" customHeight="1">
      <c r="A57" s="1237" t="s">
        <v>994</v>
      </c>
      <c r="B57" s="1141"/>
      <c r="C57" s="839" t="s">
        <v>73</v>
      </c>
      <c r="D57" s="839"/>
      <c r="E57" s="839"/>
      <c r="F57" s="266" t="s">
        <v>4</v>
      </c>
      <c r="G57" s="393">
        <f t="shared" ref="G57" si="1">SUM(G58:G59)</f>
        <v>0</v>
      </c>
      <c r="H57" s="840" t="s">
        <v>84</v>
      </c>
      <c r="I57" s="840"/>
    </row>
    <row r="58" spans="1:9" ht="15" hidden="1" customHeight="1">
      <c r="A58" s="1237"/>
      <c r="B58" s="1240"/>
      <c r="C58" s="839"/>
      <c r="D58" s="839"/>
      <c r="E58" s="839"/>
      <c r="F58" s="274" t="s">
        <v>10</v>
      </c>
      <c r="G58" s="391">
        <v>0</v>
      </c>
      <c r="H58" s="840"/>
      <c r="I58" s="840"/>
    </row>
    <row r="59" spans="1:9" ht="15" hidden="1" customHeight="1">
      <c r="A59" s="1237"/>
      <c r="B59" s="1240"/>
      <c r="C59" s="839"/>
      <c r="D59" s="839"/>
      <c r="E59" s="839"/>
      <c r="F59" s="274" t="s">
        <v>978</v>
      </c>
      <c r="G59" s="391"/>
      <c r="H59" s="840"/>
      <c r="I59" s="840"/>
    </row>
    <row r="60" spans="1:9" ht="13.95" hidden="1" customHeight="1">
      <c r="A60" s="1237" t="s">
        <v>995</v>
      </c>
      <c r="B60" s="1141"/>
      <c r="C60" s="1043"/>
      <c r="D60" s="839"/>
      <c r="E60" s="839"/>
      <c r="F60" s="266" t="s">
        <v>4</v>
      </c>
      <c r="G60" s="393">
        <f>SUM(G61:G62)</f>
        <v>0</v>
      </c>
      <c r="H60" s="840" t="s">
        <v>84</v>
      </c>
      <c r="I60" s="840"/>
    </row>
    <row r="61" spans="1:9" ht="13.95" hidden="1" customHeight="1">
      <c r="A61" s="1237"/>
      <c r="B61" s="1240"/>
      <c r="C61" s="1043"/>
      <c r="D61" s="839"/>
      <c r="E61" s="839"/>
      <c r="F61" s="274" t="s">
        <v>10</v>
      </c>
      <c r="G61" s="391">
        <v>0</v>
      </c>
      <c r="H61" s="840"/>
      <c r="I61" s="840"/>
    </row>
    <row r="62" spans="1:9" ht="13.95" hidden="1" customHeight="1">
      <c r="A62" s="1237"/>
      <c r="B62" s="1240"/>
      <c r="C62" s="1043"/>
      <c r="D62" s="839"/>
      <c r="E62" s="839"/>
      <c r="F62" s="274" t="s">
        <v>978</v>
      </c>
      <c r="G62" s="391"/>
      <c r="H62" s="840"/>
      <c r="I62" s="840"/>
    </row>
    <row r="63" spans="1:9" ht="15" hidden="1" customHeight="1">
      <c r="A63" s="1237"/>
      <c r="B63" s="1240"/>
      <c r="C63" s="1043"/>
      <c r="D63" s="839"/>
      <c r="E63" s="839"/>
      <c r="F63" s="266" t="s">
        <v>4</v>
      </c>
      <c r="G63" s="390"/>
      <c r="H63" s="840" t="s">
        <v>84</v>
      </c>
      <c r="I63" s="840"/>
    </row>
    <row r="64" spans="1:9" ht="15" hidden="1" customHeight="1">
      <c r="A64" s="1237"/>
      <c r="B64" s="1240"/>
      <c r="C64" s="1043"/>
      <c r="D64" s="839"/>
      <c r="E64" s="839"/>
      <c r="F64" s="274" t="s">
        <v>10</v>
      </c>
      <c r="G64" s="391"/>
      <c r="H64" s="840"/>
      <c r="I64" s="840"/>
    </row>
    <row r="65" spans="1:9" ht="15" hidden="1" customHeight="1">
      <c r="A65" s="1237"/>
      <c r="B65" s="1240"/>
      <c r="C65" s="1044"/>
      <c r="D65" s="839"/>
      <c r="E65" s="839"/>
      <c r="F65" s="274" t="s">
        <v>11</v>
      </c>
      <c r="G65" s="392"/>
      <c r="H65" s="840"/>
      <c r="I65" s="840"/>
    </row>
    <row r="66" spans="1:9" ht="15" hidden="1" customHeight="1">
      <c r="A66" s="1237"/>
      <c r="B66" s="1240"/>
      <c r="C66" s="1043"/>
      <c r="D66" s="839"/>
      <c r="E66" s="839"/>
      <c r="F66" s="266" t="s">
        <v>4</v>
      </c>
      <c r="G66" s="390"/>
      <c r="H66" s="840" t="s">
        <v>84</v>
      </c>
      <c r="I66" s="840"/>
    </row>
    <row r="67" spans="1:9" ht="15" hidden="1" customHeight="1">
      <c r="A67" s="1237"/>
      <c r="B67" s="1240"/>
      <c r="C67" s="1043"/>
      <c r="D67" s="839"/>
      <c r="E67" s="839"/>
      <c r="F67" s="274" t="s">
        <v>10</v>
      </c>
      <c r="G67" s="391"/>
      <c r="H67" s="840"/>
      <c r="I67" s="840"/>
    </row>
    <row r="68" spans="1:9" ht="15" hidden="1" customHeight="1">
      <c r="A68" s="1237"/>
      <c r="B68" s="1240"/>
      <c r="C68" s="1044"/>
      <c r="D68" s="839"/>
      <c r="E68" s="839"/>
      <c r="F68" s="274" t="s">
        <v>11</v>
      </c>
      <c r="G68" s="392"/>
      <c r="H68" s="840"/>
      <c r="I68" s="840"/>
    </row>
    <row r="69" spans="1:9" ht="15" hidden="1" customHeight="1">
      <c r="A69" s="1237"/>
      <c r="B69" s="1240"/>
      <c r="C69" s="1043"/>
      <c r="D69" s="839"/>
      <c r="E69" s="839"/>
      <c r="F69" s="266" t="s">
        <v>4</v>
      </c>
      <c r="G69" s="390"/>
      <c r="H69" s="840" t="s">
        <v>84</v>
      </c>
      <c r="I69" s="840"/>
    </row>
    <row r="70" spans="1:9" ht="15" hidden="1" customHeight="1">
      <c r="A70" s="1237"/>
      <c r="B70" s="1240"/>
      <c r="C70" s="1043"/>
      <c r="D70" s="839"/>
      <c r="E70" s="839"/>
      <c r="F70" s="274" t="s">
        <v>10</v>
      </c>
      <c r="G70" s="391"/>
      <c r="H70" s="840"/>
      <c r="I70" s="840"/>
    </row>
    <row r="71" spans="1:9" ht="15" hidden="1" customHeight="1">
      <c r="A71" s="1237"/>
      <c r="B71" s="1240"/>
      <c r="C71" s="1044"/>
      <c r="D71" s="839"/>
      <c r="E71" s="839"/>
      <c r="F71" s="274" t="s">
        <v>11</v>
      </c>
      <c r="G71" s="392"/>
      <c r="H71" s="840"/>
      <c r="I71" s="840"/>
    </row>
    <row r="72" spans="1:9" ht="15" hidden="1" customHeight="1">
      <c r="A72" s="1237"/>
      <c r="B72" s="1240"/>
      <c r="C72" s="1043"/>
      <c r="D72" s="839"/>
      <c r="E72" s="839"/>
      <c r="F72" s="266" t="s">
        <v>4</v>
      </c>
      <c r="G72" s="390"/>
      <c r="H72" s="840" t="s">
        <v>84</v>
      </c>
      <c r="I72" s="840"/>
    </row>
    <row r="73" spans="1:9" ht="15" hidden="1" customHeight="1">
      <c r="A73" s="1237"/>
      <c r="B73" s="1240"/>
      <c r="C73" s="1043"/>
      <c r="D73" s="839"/>
      <c r="E73" s="839"/>
      <c r="F73" s="274" t="s">
        <v>10</v>
      </c>
      <c r="G73" s="391"/>
      <c r="H73" s="840"/>
      <c r="I73" s="840"/>
    </row>
    <row r="74" spans="1:9" ht="15" hidden="1" customHeight="1">
      <c r="A74" s="1237"/>
      <c r="B74" s="1240"/>
      <c r="C74" s="1044"/>
      <c r="D74" s="1042"/>
      <c r="E74" s="839"/>
      <c r="F74" s="274" t="s">
        <v>11</v>
      </c>
      <c r="G74" s="392"/>
      <c r="H74" s="840"/>
      <c r="I74" s="840"/>
    </row>
    <row r="75" spans="1:9" ht="15.6" customHeight="1">
      <c r="A75" s="1241" t="s">
        <v>549</v>
      </c>
      <c r="B75" s="1196" t="s">
        <v>1013</v>
      </c>
      <c r="C75" s="1026" t="s">
        <v>9</v>
      </c>
      <c r="D75" s="1071" t="s">
        <v>9</v>
      </c>
      <c r="E75" s="839" t="s">
        <v>9</v>
      </c>
      <c r="F75" s="266" t="s">
        <v>4</v>
      </c>
      <c r="G75" s="270">
        <f>SUM(G76:G77)</f>
        <v>1500</v>
      </c>
      <c r="H75" s="839" t="s">
        <v>9</v>
      </c>
      <c r="I75" s="839"/>
    </row>
    <row r="76" spans="1:9" ht="15.6" customHeight="1">
      <c r="A76" s="1241"/>
      <c r="B76" s="1196"/>
      <c r="C76" s="1026"/>
      <c r="D76" s="1071"/>
      <c r="E76" s="839"/>
      <c r="F76" s="266" t="s">
        <v>10</v>
      </c>
      <c r="G76" s="270">
        <f>G91+G94+G97</f>
        <v>0</v>
      </c>
      <c r="H76" s="839"/>
      <c r="I76" s="839"/>
    </row>
    <row r="77" spans="1:9" ht="15.6" customHeight="1">
      <c r="A77" s="1241"/>
      <c r="B77" s="1196"/>
      <c r="C77" s="1026"/>
      <c r="D77" s="1071"/>
      <c r="E77" s="839"/>
      <c r="F77" s="266" t="s">
        <v>978</v>
      </c>
      <c r="G77" s="270">
        <f>G92+G95+G98</f>
        <v>1500</v>
      </c>
      <c r="H77" s="839"/>
      <c r="I77" s="839"/>
    </row>
    <row r="78" spans="1:9" ht="16.2" hidden="1" customHeight="1">
      <c r="A78" s="1237"/>
      <c r="B78" s="1070"/>
      <c r="C78" s="1013" t="s">
        <v>66</v>
      </c>
      <c r="D78" s="1053">
        <v>1</v>
      </c>
      <c r="E78" s="839"/>
      <c r="F78" s="266" t="s">
        <v>4</v>
      </c>
      <c r="G78" s="393"/>
      <c r="H78" s="1045" t="s">
        <v>85</v>
      </c>
      <c r="I78" s="1046"/>
    </row>
    <row r="79" spans="1:9" ht="16.2" hidden="1" customHeight="1">
      <c r="A79" s="1237"/>
      <c r="B79" s="1196"/>
      <c r="C79" s="1013"/>
      <c r="D79" s="1053"/>
      <c r="E79" s="839"/>
      <c r="F79" s="274" t="s">
        <v>10</v>
      </c>
      <c r="G79" s="391"/>
      <c r="H79" s="1047"/>
      <c r="I79" s="1048"/>
    </row>
    <row r="80" spans="1:9" ht="16.2" hidden="1" customHeight="1">
      <c r="A80" s="1237"/>
      <c r="B80" s="1196"/>
      <c r="C80" s="1013"/>
      <c r="D80" s="1053"/>
      <c r="E80" s="839"/>
      <c r="F80" s="274" t="s">
        <v>11</v>
      </c>
      <c r="G80" s="392"/>
      <c r="H80" s="1049"/>
      <c r="I80" s="1050"/>
    </row>
    <row r="81" spans="1:9" ht="16.2" hidden="1" customHeight="1">
      <c r="A81" s="1237"/>
      <c r="B81" s="1196"/>
      <c r="C81" s="1013" t="s">
        <v>43</v>
      </c>
      <c r="D81" s="1013">
        <v>5</v>
      </c>
      <c r="E81" s="839"/>
      <c r="F81" s="266" t="s">
        <v>4</v>
      </c>
      <c r="G81" s="390"/>
      <c r="H81" s="1045" t="s">
        <v>85</v>
      </c>
      <c r="I81" s="1046"/>
    </row>
    <row r="82" spans="1:9" ht="16.2" hidden="1" customHeight="1">
      <c r="A82" s="1237"/>
      <c r="B82" s="1196"/>
      <c r="C82" s="1013"/>
      <c r="D82" s="1013"/>
      <c r="E82" s="839"/>
      <c r="F82" s="274" t="s">
        <v>10</v>
      </c>
      <c r="G82" s="391"/>
      <c r="H82" s="1047"/>
      <c r="I82" s="1048"/>
    </row>
    <row r="83" spans="1:9" ht="16.2" hidden="1" customHeight="1">
      <c r="A83" s="1237"/>
      <c r="B83" s="1196"/>
      <c r="C83" s="1013"/>
      <c r="D83" s="1013"/>
      <c r="E83" s="839"/>
      <c r="F83" s="274" t="s">
        <v>11</v>
      </c>
      <c r="G83" s="392"/>
      <c r="H83" s="1049"/>
      <c r="I83" s="1050"/>
    </row>
    <row r="84" spans="1:9" ht="16.2" hidden="1" customHeight="1">
      <c r="A84" s="1237"/>
      <c r="B84" s="1196"/>
      <c r="C84" s="840" t="s">
        <v>43</v>
      </c>
      <c r="D84" s="840">
        <v>1</v>
      </c>
      <c r="E84" s="839"/>
      <c r="F84" s="266" t="s">
        <v>4</v>
      </c>
      <c r="G84" s="390"/>
      <c r="H84" s="1045" t="s">
        <v>85</v>
      </c>
      <c r="I84" s="1046"/>
    </row>
    <row r="85" spans="1:9" ht="16.2" hidden="1" customHeight="1">
      <c r="A85" s="1237"/>
      <c r="B85" s="1196"/>
      <c r="C85" s="840"/>
      <c r="D85" s="840"/>
      <c r="E85" s="839"/>
      <c r="F85" s="274" t="s">
        <v>10</v>
      </c>
      <c r="G85" s="391"/>
      <c r="H85" s="1047"/>
      <c r="I85" s="1048"/>
    </row>
    <row r="86" spans="1:9" ht="16.2" hidden="1" customHeight="1">
      <c r="A86" s="1237"/>
      <c r="B86" s="1196"/>
      <c r="C86" s="840"/>
      <c r="D86" s="840"/>
      <c r="E86" s="839"/>
      <c r="F86" s="274" t="s">
        <v>11</v>
      </c>
      <c r="G86" s="392"/>
      <c r="H86" s="1049"/>
      <c r="I86" s="1050"/>
    </row>
    <row r="87" spans="1:9" ht="16.2" hidden="1" customHeight="1">
      <c r="A87" s="1237"/>
      <c r="B87" s="1068"/>
      <c r="C87" s="840" t="s">
        <v>43</v>
      </c>
      <c r="D87" s="840">
        <v>3</v>
      </c>
      <c r="E87" s="839"/>
      <c r="F87" s="266" t="s">
        <v>4</v>
      </c>
      <c r="G87" s="390">
        <f>G88+G89</f>
        <v>0</v>
      </c>
      <c r="H87" s="840" t="s">
        <v>84</v>
      </c>
      <c r="I87" s="840"/>
    </row>
    <row r="88" spans="1:9" ht="16.2" hidden="1" customHeight="1">
      <c r="A88" s="1237"/>
      <c r="B88" s="1069"/>
      <c r="C88" s="840"/>
      <c r="D88" s="840"/>
      <c r="E88" s="839"/>
      <c r="F88" s="274" t="s">
        <v>10</v>
      </c>
      <c r="G88" s="391">
        <v>0</v>
      </c>
      <c r="H88" s="840"/>
      <c r="I88" s="840"/>
    </row>
    <row r="89" spans="1:9" ht="16.2" hidden="1" customHeight="1">
      <c r="A89" s="1237"/>
      <c r="B89" s="1070"/>
      <c r="C89" s="840"/>
      <c r="D89" s="840"/>
      <c r="E89" s="839"/>
      <c r="F89" s="274" t="s">
        <v>11</v>
      </c>
      <c r="G89" s="392">
        <v>0</v>
      </c>
      <c r="H89" s="840"/>
      <c r="I89" s="840"/>
    </row>
    <row r="90" spans="1:9" ht="12.75" customHeight="1">
      <c r="A90" s="1237" t="s">
        <v>954</v>
      </c>
      <c r="B90" s="1196" t="s">
        <v>565</v>
      </c>
      <c r="C90" s="840" t="s">
        <v>43</v>
      </c>
      <c r="D90" s="840">
        <v>1</v>
      </c>
      <c r="E90" s="839" t="s">
        <v>767</v>
      </c>
      <c r="F90" s="266" t="s">
        <v>4</v>
      </c>
      <c r="G90" s="393">
        <f>SUM(G91:G92)</f>
        <v>1500</v>
      </c>
      <c r="H90" s="840" t="s">
        <v>84</v>
      </c>
      <c r="I90" s="840"/>
    </row>
    <row r="91" spans="1:9" ht="12.75" customHeight="1">
      <c r="A91" s="1237"/>
      <c r="B91" s="1196"/>
      <c r="C91" s="840"/>
      <c r="D91" s="840"/>
      <c r="E91" s="839"/>
      <c r="F91" s="274" t="s">
        <v>10</v>
      </c>
      <c r="G91" s="391">
        <v>0</v>
      </c>
      <c r="H91" s="840"/>
      <c r="I91" s="840"/>
    </row>
    <row r="92" spans="1:9" ht="12.75" customHeight="1">
      <c r="A92" s="1237"/>
      <c r="B92" s="1068"/>
      <c r="C92" s="840"/>
      <c r="D92" s="840"/>
      <c r="E92" s="839"/>
      <c r="F92" s="274" t="s">
        <v>978</v>
      </c>
      <c r="G92" s="391">
        <v>1500</v>
      </c>
      <c r="H92" s="840"/>
      <c r="I92" s="840"/>
    </row>
    <row r="93" spans="1:9" ht="12.75" hidden="1" customHeight="1">
      <c r="A93" s="1159" t="s">
        <v>955</v>
      </c>
      <c r="B93" s="1068"/>
      <c r="C93" s="958"/>
      <c r="D93" s="958"/>
      <c r="E93" s="1042"/>
      <c r="F93" s="266" t="s">
        <v>4</v>
      </c>
      <c r="G93" s="393">
        <f>SUM(G94:G95)</f>
        <v>0</v>
      </c>
      <c r="H93" s="1045"/>
      <c r="I93" s="1046"/>
    </row>
    <row r="94" spans="1:9" ht="12.75" hidden="1" customHeight="1">
      <c r="A94" s="1160"/>
      <c r="B94" s="1069"/>
      <c r="C94" s="1096"/>
      <c r="D94" s="1096"/>
      <c r="E94" s="1043"/>
      <c r="F94" s="274" t="s">
        <v>10</v>
      </c>
      <c r="G94" s="391"/>
      <c r="H94" s="1047"/>
      <c r="I94" s="1048"/>
    </row>
    <row r="95" spans="1:9" ht="12.75" hidden="1" customHeight="1">
      <c r="A95" s="1161"/>
      <c r="B95" s="1070"/>
      <c r="C95" s="959"/>
      <c r="D95" s="959"/>
      <c r="E95" s="1044"/>
      <c r="F95" s="274" t="s">
        <v>978</v>
      </c>
      <c r="G95" s="391"/>
      <c r="H95" s="1049"/>
      <c r="I95" s="1050"/>
    </row>
    <row r="96" spans="1:9" ht="13.2" hidden="1" customHeight="1">
      <c r="A96" s="1237" t="s">
        <v>956</v>
      </c>
      <c r="B96" s="1196"/>
      <c r="C96" s="1013"/>
      <c r="D96" s="1013"/>
      <c r="E96" s="839"/>
      <c r="F96" s="266" t="s">
        <v>4</v>
      </c>
      <c r="G96" s="393">
        <f>SUM(G97:G98)</f>
        <v>0</v>
      </c>
      <c r="H96" s="840"/>
      <c r="I96" s="840"/>
    </row>
    <row r="97" spans="1:11" ht="13.2" hidden="1" customHeight="1">
      <c r="A97" s="1237"/>
      <c r="B97" s="1196"/>
      <c r="C97" s="1013"/>
      <c r="D97" s="1013"/>
      <c r="E97" s="839"/>
      <c r="F97" s="274" t="s">
        <v>10</v>
      </c>
      <c r="G97" s="391"/>
      <c r="H97" s="840"/>
      <c r="I97" s="840"/>
    </row>
    <row r="98" spans="1:11" ht="13.2" hidden="1" customHeight="1">
      <c r="A98" s="1237"/>
      <c r="B98" s="1196"/>
      <c r="C98" s="1013"/>
      <c r="D98" s="1013"/>
      <c r="E98" s="839"/>
      <c r="F98" s="274" t="s">
        <v>978</v>
      </c>
      <c r="G98" s="391"/>
      <c r="H98" s="840"/>
      <c r="I98" s="840"/>
    </row>
    <row r="99" spans="1:11" ht="13.95" hidden="1" customHeight="1">
      <c r="A99" s="1237" t="s">
        <v>983</v>
      </c>
      <c r="B99" s="1196" t="s">
        <v>957</v>
      </c>
      <c r="C99" s="1026" t="s">
        <v>9</v>
      </c>
      <c r="D99" s="1026" t="s">
        <v>9</v>
      </c>
      <c r="E99" s="1183" t="s">
        <v>9</v>
      </c>
      <c r="F99" s="266" t="s">
        <v>4</v>
      </c>
      <c r="G99" s="270">
        <f>SUM(G100:G101)</f>
        <v>0</v>
      </c>
      <c r="H99" s="1045" t="s">
        <v>87</v>
      </c>
      <c r="I99" s="1046"/>
    </row>
    <row r="100" spans="1:11" ht="13.95" hidden="1" customHeight="1">
      <c r="A100" s="1237"/>
      <c r="B100" s="1196"/>
      <c r="C100" s="1026"/>
      <c r="D100" s="1026"/>
      <c r="E100" s="1183"/>
      <c r="F100" s="266" t="s">
        <v>10</v>
      </c>
      <c r="G100" s="272">
        <f>G103</f>
        <v>0</v>
      </c>
      <c r="H100" s="1047"/>
      <c r="I100" s="1048"/>
    </row>
    <row r="101" spans="1:11" ht="13.95" hidden="1" customHeight="1">
      <c r="A101" s="1237"/>
      <c r="B101" s="1196"/>
      <c r="C101" s="1026"/>
      <c r="D101" s="1026"/>
      <c r="E101" s="1183"/>
      <c r="F101" s="266" t="s">
        <v>978</v>
      </c>
      <c r="G101" s="272">
        <f>G104+G107</f>
        <v>0</v>
      </c>
      <c r="H101" s="1047"/>
      <c r="I101" s="1048"/>
    </row>
    <row r="102" spans="1:11" ht="13.2" hidden="1" customHeight="1">
      <c r="A102" s="1237" t="s">
        <v>984</v>
      </c>
      <c r="B102" s="1070" t="s">
        <v>687</v>
      </c>
      <c r="C102" s="840" t="s">
        <v>43</v>
      </c>
      <c r="D102" s="840">
        <v>1</v>
      </c>
      <c r="E102" s="839" t="s">
        <v>767</v>
      </c>
      <c r="F102" s="266" t="s">
        <v>4</v>
      </c>
      <c r="G102" s="393">
        <f>SUM(G103:G104)</f>
        <v>0</v>
      </c>
      <c r="H102" s="1047"/>
      <c r="I102" s="1048"/>
    </row>
    <row r="103" spans="1:11" ht="13.2" hidden="1" customHeight="1">
      <c r="A103" s="1237"/>
      <c r="B103" s="1196"/>
      <c r="C103" s="840"/>
      <c r="D103" s="840"/>
      <c r="E103" s="839"/>
      <c r="F103" s="274" t="s">
        <v>10</v>
      </c>
      <c r="G103" s="391">
        <v>0</v>
      </c>
      <c r="H103" s="1047"/>
      <c r="I103" s="1048"/>
    </row>
    <row r="104" spans="1:11" ht="13.2" hidden="1" customHeight="1">
      <c r="A104" s="1237"/>
      <c r="B104" s="1196"/>
      <c r="C104" s="840"/>
      <c r="D104" s="840"/>
      <c r="E104" s="839"/>
      <c r="F104" s="274" t="s">
        <v>978</v>
      </c>
      <c r="G104" s="391">
        <v>0</v>
      </c>
      <c r="H104" s="1049"/>
      <c r="I104" s="1050"/>
    </row>
    <row r="105" spans="1:11" ht="13.5" hidden="1" customHeight="1">
      <c r="A105" s="1011" t="s">
        <v>986</v>
      </c>
      <c r="B105" s="1012" t="s">
        <v>687</v>
      </c>
      <c r="C105" s="1013" t="s">
        <v>9</v>
      </c>
      <c r="D105" s="1013" t="s">
        <v>9</v>
      </c>
      <c r="E105" s="839" t="s">
        <v>9</v>
      </c>
      <c r="F105" s="266" t="s">
        <v>4</v>
      </c>
      <c r="G105" s="270">
        <f>G106+G107</f>
        <v>0</v>
      </c>
      <c r="H105" s="840" t="s">
        <v>87</v>
      </c>
      <c r="I105" s="840"/>
    </row>
    <row r="106" spans="1:11" ht="13.5" hidden="1" customHeight="1">
      <c r="A106" s="1011"/>
      <c r="B106" s="1012"/>
      <c r="C106" s="1013"/>
      <c r="D106" s="1013"/>
      <c r="E106" s="839"/>
      <c r="F106" s="274" t="s">
        <v>10</v>
      </c>
      <c r="G106" s="275">
        <v>0</v>
      </c>
      <c r="H106" s="840"/>
      <c r="I106" s="840"/>
    </row>
    <row r="107" spans="1:11" ht="13.5" hidden="1" customHeight="1">
      <c r="A107" s="1011"/>
      <c r="B107" s="1012"/>
      <c r="C107" s="1013"/>
      <c r="D107" s="1013"/>
      <c r="E107" s="839"/>
      <c r="F107" s="274" t="s">
        <v>11</v>
      </c>
      <c r="G107" s="275"/>
      <c r="H107" s="840"/>
      <c r="I107" s="840"/>
    </row>
    <row r="108" spans="1:11" ht="13.95" customHeight="1">
      <c r="A108" s="1024"/>
      <c r="B108" s="1030" t="s">
        <v>378</v>
      </c>
      <c r="C108" s="1026" t="s">
        <v>9</v>
      </c>
      <c r="D108" s="1182" t="s">
        <v>9</v>
      </c>
      <c r="E108" s="1026" t="s">
        <v>9</v>
      </c>
      <c r="F108" s="266" t="s">
        <v>4</v>
      </c>
      <c r="G108" s="270">
        <f>G6+G36</f>
        <v>66684.785329999999</v>
      </c>
      <c r="H108" s="1183" t="s">
        <v>9</v>
      </c>
      <c r="I108" s="1183"/>
      <c r="J108" s="435"/>
    </row>
    <row r="109" spans="1:11" ht="13.95" customHeight="1">
      <c r="A109" s="1024"/>
      <c r="B109" s="1030"/>
      <c r="C109" s="1026"/>
      <c r="D109" s="1182"/>
      <c r="E109" s="1026"/>
      <c r="F109" s="266" t="s">
        <v>10</v>
      </c>
      <c r="G109" s="270">
        <f>G7+G37</f>
        <v>50000</v>
      </c>
      <c r="H109" s="1183"/>
      <c r="I109" s="1183"/>
    </row>
    <row r="110" spans="1:11" ht="13.95" customHeight="1">
      <c r="A110" s="1024"/>
      <c r="B110" s="1030"/>
      <c r="C110" s="1026"/>
      <c r="D110" s="1182"/>
      <c r="E110" s="1026"/>
      <c r="F110" s="266" t="s">
        <v>978</v>
      </c>
      <c r="G110" s="270">
        <f>G8+G38</f>
        <v>16684.785329999999</v>
      </c>
      <c r="H110" s="1183"/>
      <c r="I110" s="1183"/>
    </row>
    <row r="111" spans="1:11">
      <c r="G111" s="550">
        <f>G41+G93+G102+G105</f>
        <v>5524.7853299999997</v>
      </c>
      <c r="H111" s="551" t="s">
        <v>685</v>
      </c>
      <c r="I111" s="551">
        <v>5524.7853299999997</v>
      </c>
      <c r="J111" s="545"/>
    </row>
    <row r="112" spans="1:11">
      <c r="G112" s="550">
        <f>G8+G47+G92</f>
        <v>11160</v>
      </c>
      <c r="H112" s="551" t="s">
        <v>961</v>
      </c>
      <c r="I112" s="550">
        <f>G112-G8</f>
        <v>4180</v>
      </c>
      <c r="J112" s="544"/>
      <c r="K112" s="435"/>
    </row>
    <row r="113" spans="7:10">
      <c r="G113" s="550">
        <f>G98</f>
        <v>0</v>
      </c>
      <c r="H113" s="551" t="s">
        <v>962</v>
      </c>
      <c r="I113" s="551"/>
      <c r="J113" s="544"/>
    </row>
    <row r="114" spans="7:10">
      <c r="G114" s="551"/>
      <c r="H114" s="551"/>
      <c r="I114" s="551"/>
      <c r="J114" s="544"/>
    </row>
    <row r="115" spans="7:10">
      <c r="G115" s="782">
        <f>G108-G99-G39</f>
        <v>61160</v>
      </c>
      <c r="H115" s="1195" t="s">
        <v>1017</v>
      </c>
      <c r="I115" s="1195"/>
      <c r="J115" s="544"/>
    </row>
    <row r="116" spans="7:10">
      <c r="G116" s="439"/>
    </row>
  </sheetData>
  <mergeCells count="210">
    <mergeCell ref="H115:I115"/>
    <mergeCell ref="H99:I104"/>
    <mergeCell ref="A108:A110"/>
    <mergeCell ref="B108:B110"/>
    <mergeCell ref="C108:C110"/>
    <mergeCell ref="D108:D110"/>
    <mergeCell ref="E108:E110"/>
    <mergeCell ref="H108:I110"/>
    <mergeCell ref="A105:A107"/>
    <mergeCell ref="B105:B107"/>
    <mergeCell ref="C105:C107"/>
    <mergeCell ref="D105:D107"/>
    <mergeCell ref="E105:E107"/>
    <mergeCell ref="H105:I107"/>
    <mergeCell ref="A102:A104"/>
    <mergeCell ref="B102:B104"/>
    <mergeCell ref="C102:C104"/>
    <mergeCell ref="D102:D104"/>
    <mergeCell ref="E102:E104"/>
    <mergeCell ref="A99:A101"/>
    <mergeCell ref="B99:B101"/>
    <mergeCell ref="C99:C101"/>
    <mergeCell ref="D99:D101"/>
    <mergeCell ref="E99:E101"/>
    <mergeCell ref="A96:A98"/>
    <mergeCell ref="B96:B98"/>
    <mergeCell ref="C96:C98"/>
    <mergeCell ref="D96:D98"/>
    <mergeCell ref="E96:E98"/>
    <mergeCell ref="H96:I98"/>
    <mergeCell ref="A93:A95"/>
    <mergeCell ref="B93:B95"/>
    <mergeCell ref="C93:C95"/>
    <mergeCell ref="D93:D95"/>
    <mergeCell ref="E93:E95"/>
    <mergeCell ref="H93:I95"/>
    <mergeCell ref="A90:A92"/>
    <mergeCell ref="B90:B92"/>
    <mergeCell ref="C90:C92"/>
    <mergeCell ref="D90:D92"/>
    <mergeCell ref="E90:E92"/>
    <mergeCell ref="H90:I92"/>
    <mergeCell ref="A87:A89"/>
    <mergeCell ref="B87:B89"/>
    <mergeCell ref="C87:C89"/>
    <mergeCell ref="D87:D89"/>
    <mergeCell ref="E87:E89"/>
    <mergeCell ref="H87:I89"/>
    <mergeCell ref="A84:A86"/>
    <mergeCell ref="B84:B86"/>
    <mergeCell ref="C84:C86"/>
    <mergeCell ref="D84:D86"/>
    <mergeCell ref="E84:E86"/>
    <mergeCell ref="H84:I86"/>
    <mergeCell ref="A81:A83"/>
    <mergeCell ref="B81:B83"/>
    <mergeCell ref="C81:C83"/>
    <mergeCell ref="D81:D83"/>
    <mergeCell ref="E81:E83"/>
    <mergeCell ref="H81:I83"/>
    <mergeCell ref="A78:A80"/>
    <mergeCell ref="B78:B80"/>
    <mergeCell ref="C78:C80"/>
    <mergeCell ref="D78:D80"/>
    <mergeCell ref="E78:E80"/>
    <mergeCell ref="H78:I80"/>
    <mergeCell ref="A75:A77"/>
    <mergeCell ref="B75:B77"/>
    <mergeCell ref="C75:C77"/>
    <mergeCell ref="D75:D77"/>
    <mergeCell ref="E75:E77"/>
    <mergeCell ref="H75:I77"/>
    <mergeCell ref="A72:A74"/>
    <mergeCell ref="B72:B74"/>
    <mergeCell ref="C72:C74"/>
    <mergeCell ref="D72:D74"/>
    <mergeCell ref="E72:E74"/>
    <mergeCell ref="H72:I74"/>
    <mergeCell ref="A69:A71"/>
    <mergeCell ref="B69:B71"/>
    <mergeCell ref="C69:C71"/>
    <mergeCell ref="D69:D71"/>
    <mergeCell ref="E69:E71"/>
    <mergeCell ref="H69:I71"/>
    <mergeCell ref="A66:A68"/>
    <mergeCell ref="B66:B68"/>
    <mergeCell ref="C66:C68"/>
    <mergeCell ref="D66:D68"/>
    <mergeCell ref="E66:E68"/>
    <mergeCell ref="H66:I68"/>
    <mergeCell ref="A63:A65"/>
    <mergeCell ref="B63:B65"/>
    <mergeCell ref="C63:C65"/>
    <mergeCell ref="D63:D65"/>
    <mergeCell ref="E63:E65"/>
    <mergeCell ref="H63:I65"/>
    <mergeCell ref="A60:A62"/>
    <mergeCell ref="B60:B62"/>
    <mergeCell ref="C60:C62"/>
    <mergeCell ref="D60:D62"/>
    <mergeCell ref="E60:E62"/>
    <mergeCell ref="H60:I62"/>
    <mergeCell ref="A57:A59"/>
    <mergeCell ref="B57:B59"/>
    <mergeCell ref="C57:C59"/>
    <mergeCell ref="D57:D59"/>
    <mergeCell ref="E57:E59"/>
    <mergeCell ref="H57:I59"/>
    <mergeCell ref="A54:A56"/>
    <mergeCell ref="B54:B56"/>
    <mergeCell ref="C54:C56"/>
    <mergeCell ref="D54:D56"/>
    <mergeCell ref="E54:E56"/>
    <mergeCell ref="H54:I56"/>
    <mergeCell ref="A51:A53"/>
    <mergeCell ref="B51:B53"/>
    <mergeCell ref="C51:C53"/>
    <mergeCell ref="D51:D53"/>
    <mergeCell ref="E51:E53"/>
    <mergeCell ref="H51:I53"/>
    <mergeCell ref="A48:A50"/>
    <mergeCell ref="B48:B50"/>
    <mergeCell ref="C48:C50"/>
    <mergeCell ref="D48:D50"/>
    <mergeCell ref="E48:E50"/>
    <mergeCell ref="H48:I50"/>
    <mergeCell ref="A45:A47"/>
    <mergeCell ref="B45:B47"/>
    <mergeCell ref="C45:C47"/>
    <mergeCell ref="D45:D47"/>
    <mergeCell ref="E45:E47"/>
    <mergeCell ref="H45:I47"/>
    <mergeCell ref="A42:A44"/>
    <mergeCell ref="B42:B44"/>
    <mergeCell ref="C42:C44"/>
    <mergeCell ref="D42:D44"/>
    <mergeCell ref="E42:E44"/>
    <mergeCell ref="H42:I44"/>
    <mergeCell ref="A39:A41"/>
    <mergeCell ref="B39:B41"/>
    <mergeCell ref="C39:C41"/>
    <mergeCell ref="D39:D41"/>
    <mergeCell ref="E39:E41"/>
    <mergeCell ref="H39:I41"/>
    <mergeCell ref="A36:A38"/>
    <mergeCell ref="B36:B38"/>
    <mergeCell ref="C36:C38"/>
    <mergeCell ref="D36:D38"/>
    <mergeCell ref="E36:E38"/>
    <mergeCell ref="H36:I38"/>
    <mergeCell ref="A30:A32"/>
    <mergeCell ref="B30:B32"/>
    <mergeCell ref="C30:D30"/>
    <mergeCell ref="E30:E32"/>
    <mergeCell ref="H30:I32"/>
    <mergeCell ref="A33:A35"/>
    <mergeCell ref="B33:B35"/>
    <mergeCell ref="C33:D33"/>
    <mergeCell ref="E33:E35"/>
    <mergeCell ref="H33:I35"/>
    <mergeCell ref="A24:A26"/>
    <mergeCell ref="B24:B26"/>
    <mergeCell ref="C24:D24"/>
    <mergeCell ref="E24:E26"/>
    <mergeCell ref="H24:I26"/>
    <mergeCell ref="A27:A29"/>
    <mergeCell ref="B27:B29"/>
    <mergeCell ref="C27:D27"/>
    <mergeCell ref="E27:E29"/>
    <mergeCell ref="H27:I29"/>
    <mergeCell ref="A18:A20"/>
    <mergeCell ref="B18:B20"/>
    <mergeCell ref="C18:D18"/>
    <mergeCell ref="E18:E20"/>
    <mergeCell ref="H18:I20"/>
    <mergeCell ref="A21:A23"/>
    <mergeCell ref="B21:B23"/>
    <mergeCell ref="C21:D21"/>
    <mergeCell ref="E21:E23"/>
    <mergeCell ref="H21:I23"/>
    <mergeCell ref="A12:A14"/>
    <mergeCell ref="B12:B14"/>
    <mergeCell ref="C12:D12"/>
    <mergeCell ref="E12:E14"/>
    <mergeCell ref="H12:I14"/>
    <mergeCell ref="A15:A17"/>
    <mergeCell ref="B15:B17"/>
    <mergeCell ref="C15:D15"/>
    <mergeCell ref="E15:E17"/>
    <mergeCell ref="H15:I17"/>
    <mergeCell ref="A6:A8"/>
    <mergeCell ref="B6:B8"/>
    <mergeCell ref="C6:D6"/>
    <mergeCell ref="E6:E8"/>
    <mergeCell ref="H6:I8"/>
    <mergeCell ref="A9:A11"/>
    <mergeCell ref="B9:B11"/>
    <mergeCell ref="C9:D9"/>
    <mergeCell ref="E9:E11"/>
    <mergeCell ref="H9:I11"/>
    <mergeCell ref="F1:I1"/>
    <mergeCell ref="A2:I2"/>
    <mergeCell ref="A3:A5"/>
    <mergeCell ref="B3:B5"/>
    <mergeCell ref="C3:C5"/>
    <mergeCell ref="D3:D5"/>
    <mergeCell ref="E3:E5"/>
    <mergeCell ref="F3:F5"/>
    <mergeCell ref="G3:G5"/>
    <mergeCell ref="H3:I5"/>
  </mergeCells>
  <pageMargins left="0.78740157480314965" right="0.39370078740157483" top="0" bottom="0" header="0.31496062992125984" footer="0.31496062992125984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Y116"/>
  <sheetViews>
    <sheetView topLeftCell="A39" workbookViewId="0">
      <selection activeCell="G111" sqref="G111:I113"/>
    </sheetView>
  </sheetViews>
  <sheetFormatPr defaultColWidth="8.88671875" defaultRowHeight="14.4"/>
  <cols>
    <col min="1" max="1" width="6.44140625" style="433" customWidth="1"/>
    <col min="2" max="2" width="49.88671875" style="433" customWidth="1"/>
    <col min="3" max="5" width="8.88671875" style="433"/>
    <col min="6" max="6" width="18.33203125" style="438" customWidth="1"/>
    <col min="7" max="7" width="17.6640625" style="433" customWidth="1"/>
    <col min="8" max="8" width="8.88671875" style="433"/>
    <col min="9" max="9" width="13.44140625" style="433" customWidth="1"/>
    <col min="10" max="10" width="23.88671875" style="425" customWidth="1"/>
    <col min="11" max="11" width="11.88671875" style="425" customWidth="1"/>
    <col min="12" max="25" width="8.88671875" style="425"/>
    <col min="26" max="16384" width="8.88671875" style="254"/>
  </cols>
  <sheetData>
    <row r="1" spans="1:10" ht="35.4" customHeight="1">
      <c r="F1" s="1192" t="s">
        <v>998</v>
      </c>
      <c r="G1" s="1192"/>
      <c r="H1" s="1192"/>
      <c r="I1" s="1192"/>
    </row>
    <row r="2" spans="1:10" ht="21" customHeight="1">
      <c r="A2" s="1193" t="s">
        <v>999</v>
      </c>
      <c r="B2" s="1193"/>
      <c r="C2" s="1193"/>
      <c r="D2" s="1193"/>
      <c r="E2" s="1193"/>
      <c r="F2" s="1193"/>
      <c r="G2" s="1193"/>
      <c r="H2" s="1193"/>
      <c r="I2" s="1193"/>
    </row>
    <row r="3" spans="1:10" ht="15" customHeight="1">
      <c r="A3" s="1038" t="s">
        <v>0</v>
      </c>
      <c r="B3" s="1039" t="s">
        <v>6</v>
      </c>
      <c r="C3" s="1039" t="s">
        <v>7</v>
      </c>
      <c r="D3" s="1040" t="s">
        <v>79</v>
      </c>
      <c r="E3" s="1039" t="s">
        <v>369</v>
      </c>
      <c r="F3" s="1039" t="s">
        <v>76</v>
      </c>
      <c r="G3" s="1041" t="s">
        <v>77</v>
      </c>
      <c r="H3" s="1041" t="s">
        <v>370</v>
      </c>
      <c r="I3" s="1041"/>
    </row>
    <row r="4" spans="1:10">
      <c r="A4" s="1038"/>
      <c r="B4" s="1039"/>
      <c r="C4" s="1039"/>
      <c r="D4" s="1040"/>
      <c r="E4" s="1039"/>
      <c r="F4" s="1039"/>
      <c r="G4" s="1041"/>
      <c r="H4" s="1041"/>
      <c r="I4" s="1041"/>
    </row>
    <row r="5" spans="1:10" ht="12.6" customHeight="1">
      <c r="A5" s="1038"/>
      <c r="B5" s="1039"/>
      <c r="C5" s="1039"/>
      <c r="D5" s="1040"/>
      <c r="E5" s="1039"/>
      <c r="F5" s="1039"/>
      <c r="G5" s="1041"/>
      <c r="H5" s="1041"/>
      <c r="I5" s="1041"/>
    </row>
    <row r="6" spans="1:10" ht="19.5" customHeight="1">
      <c r="A6" s="1024" t="s">
        <v>3</v>
      </c>
      <c r="B6" s="1030" t="s">
        <v>371</v>
      </c>
      <c r="C6" s="1026"/>
      <c r="D6" s="1026"/>
      <c r="E6" s="1183" t="s">
        <v>1000</v>
      </c>
      <c r="F6" s="266" t="s">
        <v>4</v>
      </c>
      <c r="G6" s="267">
        <f>SUM(G7:G8)</f>
        <v>67000</v>
      </c>
      <c r="H6" s="1183" t="s">
        <v>9</v>
      </c>
      <c r="I6" s="1183"/>
    </row>
    <row r="7" spans="1:10" ht="19.5" customHeight="1">
      <c r="A7" s="1024"/>
      <c r="B7" s="1030"/>
      <c r="C7" s="443" t="s">
        <v>131</v>
      </c>
      <c r="D7" s="269">
        <f>D10+D31</f>
        <v>0</v>
      </c>
      <c r="E7" s="1183"/>
      <c r="F7" s="266" t="s">
        <v>10</v>
      </c>
      <c r="G7" s="267">
        <v>60000</v>
      </c>
      <c r="H7" s="1183"/>
      <c r="I7" s="1183"/>
    </row>
    <row r="8" spans="1:10" ht="19.5" customHeight="1">
      <c r="A8" s="1024"/>
      <c r="B8" s="1030"/>
      <c r="C8" s="443" t="s">
        <v>215</v>
      </c>
      <c r="D8" s="269">
        <f>D11+D32</f>
        <v>26000</v>
      </c>
      <c r="E8" s="1183"/>
      <c r="F8" s="266" t="s">
        <v>978</v>
      </c>
      <c r="G8" s="267">
        <v>7000</v>
      </c>
      <c r="H8" s="1183"/>
      <c r="I8" s="1183"/>
    </row>
    <row r="9" spans="1:10" ht="15" customHeight="1">
      <c r="A9" s="1029" t="s">
        <v>82</v>
      </c>
      <c r="B9" s="1030" t="s">
        <v>83</v>
      </c>
      <c r="C9" s="1026"/>
      <c r="D9" s="1026"/>
      <c r="E9" s="1183" t="s">
        <v>1000</v>
      </c>
      <c r="F9" s="266" t="s">
        <v>4</v>
      </c>
      <c r="G9" s="272">
        <f>SUM(G10:G11)</f>
        <v>67000</v>
      </c>
      <c r="H9" s="1039" t="s">
        <v>84</v>
      </c>
      <c r="I9" s="1039"/>
    </row>
    <row r="10" spans="1:10" ht="15" customHeight="1">
      <c r="A10" s="1029"/>
      <c r="B10" s="1030"/>
      <c r="C10" s="443" t="s">
        <v>131</v>
      </c>
      <c r="D10" s="444">
        <f>D13+D16+D19+D22</f>
        <v>0</v>
      </c>
      <c r="E10" s="1183"/>
      <c r="F10" s="266" t="s">
        <v>10</v>
      </c>
      <c r="G10" s="272">
        <v>60000</v>
      </c>
      <c r="H10" s="1039"/>
      <c r="I10" s="1039"/>
    </row>
    <row r="11" spans="1:10" ht="15" customHeight="1">
      <c r="A11" s="1029"/>
      <c r="B11" s="1030"/>
      <c r="C11" s="443" t="s">
        <v>215</v>
      </c>
      <c r="D11" s="444">
        <v>26000</v>
      </c>
      <c r="E11" s="1183"/>
      <c r="F11" s="266" t="s">
        <v>978</v>
      </c>
      <c r="G11" s="272">
        <v>7000</v>
      </c>
      <c r="H11" s="1039"/>
      <c r="I11" s="1039"/>
    </row>
    <row r="12" spans="1:10" ht="16.2" hidden="1" customHeight="1">
      <c r="A12" s="1011" t="s">
        <v>35</v>
      </c>
      <c r="B12" s="1196"/>
      <c r="C12" s="1033"/>
      <c r="D12" s="1033"/>
      <c r="E12" s="1032"/>
      <c r="F12" s="434" t="s">
        <v>4</v>
      </c>
      <c r="G12" s="393">
        <f>SUM(G13:G14)</f>
        <v>0</v>
      </c>
      <c r="H12" s="840" t="s">
        <v>84</v>
      </c>
      <c r="I12" s="840"/>
      <c r="J12" s="435"/>
    </row>
    <row r="13" spans="1:10" ht="16.2" hidden="1" customHeight="1">
      <c r="A13" s="1011"/>
      <c r="B13" s="1196"/>
      <c r="C13" s="442" t="s">
        <v>131</v>
      </c>
      <c r="D13" s="436"/>
      <c r="E13" s="1032"/>
      <c r="F13" s="437" t="s">
        <v>10</v>
      </c>
      <c r="G13" s="391"/>
      <c r="H13" s="840"/>
      <c r="I13" s="840"/>
      <c r="J13" s="435"/>
    </row>
    <row r="14" spans="1:10" ht="15.6" hidden="1" customHeight="1">
      <c r="A14" s="1011"/>
      <c r="B14" s="1196"/>
      <c r="C14" s="442" t="s">
        <v>215</v>
      </c>
      <c r="D14" s="436"/>
      <c r="E14" s="1032"/>
      <c r="F14" s="437" t="s">
        <v>978</v>
      </c>
      <c r="G14" s="391"/>
      <c r="H14" s="840"/>
      <c r="I14" s="840"/>
      <c r="J14" s="435"/>
    </row>
    <row r="15" spans="1:10" ht="18" hidden="1" customHeight="1">
      <c r="A15" s="1011" t="s">
        <v>40</v>
      </c>
      <c r="B15" s="1196"/>
      <c r="C15" s="1033"/>
      <c r="D15" s="1033"/>
      <c r="E15" s="1032"/>
      <c r="F15" s="434" t="s">
        <v>4</v>
      </c>
      <c r="G15" s="393">
        <f>SUM(G16:G17)</f>
        <v>0</v>
      </c>
      <c r="H15" s="840" t="s">
        <v>84</v>
      </c>
      <c r="I15" s="840"/>
    </row>
    <row r="16" spans="1:10" ht="18" hidden="1" customHeight="1">
      <c r="A16" s="1011"/>
      <c r="B16" s="1196"/>
      <c r="C16" s="442" t="s">
        <v>131</v>
      </c>
      <c r="D16" s="436"/>
      <c r="E16" s="1032"/>
      <c r="F16" s="437" t="s">
        <v>10</v>
      </c>
      <c r="G16" s="391"/>
      <c r="H16" s="840"/>
      <c r="I16" s="840"/>
    </row>
    <row r="17" spans="1:9" ht="18" hidden="1" customHeight="1">
      <c r="A17" s="1011"/>
      <c r="B17" s="1196"/>
      <c r="C17" s="442" t="s">
        <v>215</v>
      </c>
      <c r="D17" s="436"/>
      <c r="E17" s="1032"/>
      <c r="F17" s="437" t="s">
        <v>978</v>
      </c>
      <c r="G17" s="391"/>
      <c r="H17" s="840"/>
      <c r="I17" s="840"/>
    </row>
    <row r="18" spans="1:9" ht="16.2" hidden="1" customHeight="1">
      <c r="A18" s="1086" t="s">
        <v>200</v>
      </c>
      <c r="B18" s="1068"/>
      <c r="C18" s="1188"/>
      <c r="D18" s="1189"/>
      <c r="E18" s="1032"/>
      <c r="F18" s="434" t="s">
        <v>4</v>
      </c>
      <c r="G18" s="393">
        <f>SUM(G19:G20)</f>
        <v>0</v>
      </c>
      <c r="H18" s="1045" t="s">
        <v>84</v>
      </c>
      <c r="I18" s="1046"/>
    </row>
    <row r="19" spans="1:9" ht="16.2" hidden="1" customHeight="1">
      <c r="A19" s="1072"/>
      <c r="B19" s="1069"/>
      <c r="C19" s="442" t="s">
        <v>131</v>
      </c>
      <c r="D19" s="436"/>
      <c r="E19" s="1032"/>
      <c r="F19" s="437" t="s">
        <v>10</v>
      </c>
      <c r="G19" s="391"/>
      <c r="H19" s="1047"/>
      <c r="I19" s="1048"/>
    </row>
    <row r="20" spans="1:9" ht="16.2" hidden="1" customHeight="1">
      <c r="A20" s="1072"/>
      <c r="B20" s="1069"/>
      <c r="C20" s="442" t="s">
        <v>215</v>
      </c>
      <c r="D20" s="436"/>
      <c r="E20" s="1032"/>
      <c r="F20" s="437" t="s">
        <v>978</v>
      </c>
      <c r="G20" s="391"/>
      <c r="H20" s="1047"/>
      <c r="I20" s="1048"/>
    </row>
    <row r="21" spans="1:9" ht="16.2" hidden="1" customHeight="1">
      <c r="A21" s="1086" t="s">
        <v>201</v>
      </c>
      <c r="B21" s="1068"/>
      <c r="C21" s="1188"/>
      <c r="D21" s="1189"/>
      <c r="E21" s="1032"/>
      <c r="F21" s="434" t="s">
        <v>4</v>
      </c>
      <c r="G21" s="393">
        <f>SUM(G22:G23)</f>
        <v>0</v>
      </c>
      <c r="H21" s="1045" t="s">
        <v>84</v>
      </c>
      <c r="I21" s="1046"/>
    </row>
    <row r="22" spans="1:9" ht="16.2" hidden="1" customHeight="1">
      <c r="A22" s="1072"/>
      <c r="B22" s="1069"/>
      <c r="C22" s="442" t="s">
        <v>131</v>
      </c>
      <c r="D22" s="436"/>
      <c r="E22" s="1032"/>
      <c r="F22" s="437" t="s">
        <v>10</v>
      </c>
      <c r="G22" s="391"/>
      <c r="H22" s="1047"/>
      <c r="I22" s="1048"/>
    </row>
    <row r="23" spans="1:9" ht="16.2" hidden="1" customHeight="1">
      <c r="A23" s="1072"/>
      <c r="B23" s="1069"/>
      <c r="C23" s="442" t="s">
        <v>215</v>
      </c>
      <c r="D23" s="436"/>
      <c r="E23" s="1032"/>
      <c r="F23" s="437" t="s">
        <v>978</v>
      </c>
      <c r="G23" s="391"/>
      <c r="H23" s="1047"/>
      <c r="I23" s="1048"/>
    </row>
    <row r="24" spans="1:9" ht="16.2" hidden="1" customHeight="1">
      <c r="A24" s="1086" t="s">
        <v>205</v>
      </c>
      <c r="B24" s="1068"/>
      <c r="C24" s="1188"/>
      <c r="D24" s="1189"/>
      <c r="E24" s="1032"/>
      <c r="F24" s="434" t="s">
        <v>4</v>
      </c>
      <c r="G24" s="393">
        <f>SUM(G25:G26)</f>
        <v>0</v>
      </c>
      <c r="H24" s="1045" t="s">
        <v>84</v>
      </c>
      <c r="I24" s="1046"/>
    </row>
    <row r="25" spans="1:9" ht="16.2" hidden="1" customHeight="1">
      <c r="A25" s="1072"/>
      <c r="B25" s="1069"/>
      <c r="C25" s="442" t="s">
        <v>131</v>
      </c>
      <c r="D25" s="436"/>
      <c r="E25" s="1032"/>
      <c r="F25" s="437" t="s">
        <v>10</v>
      </c>
      <c r="G25" s="391"/>
      <c r="H25" s="1047"/>
      <c r="I25" s="1048"/>
    </row>
    <row r="26" spans="1:9" ht="16.2" hidden="1" customHeight="1">
      <c r="A26" s="1072"/>
      <c r="B26" s="1069"/>
      <c r="C26" s="442" t="s">
        <v>215</v>
      </c>
      <c r="D26" s="436"/>
      <c r="E26" s="1032"/>
      <c r="F26" s="437" t="s">
        <v>978</v>
      </c>
      <c r="G26" s="391"/>
      <c r="H26" s="1047"/>
      <c r="I26" s="1048"/>
    </row>
    <row r="27" spans="1:9" ht="16.2" hidden="1" customHeight="1">
      <c r="A27" s="1086" t="s">
        <v>355</v>
      </c>
      <c r="B27" s="1068"/>
      <c r="C27" s="1188"/>
      <c r="D27" s="1189"/>
      <c r="E27" s="1032"/>
      <c r="F27" s="434" t="s">
        <v>4</v>
      </c>
      <c r="G27" s="393">
        <f>SUM(G28:G29)</f>
        <v>0</v>
      </c>
      <c r="H27" s="1045" t="s">
        <v>84</v>
      </c>
      <c r="I27" s="1046"/>
    </row>
    <row r="28" spans="1:9" ht="16.2" hidden="1" customHeight="1">
      <c r="A28" s="1072"/>
      <c r="B28" s="1069"/>
      <c r="C28" s="442" t="s">
        <v>131</v>
      </c>
      <c r="D28" s="436"/>
      <c r="E28" s="1032"/>
      <c r="F28" s="437" t="s">
        <v>10</v>
      </c>
      <c r="G28" s="391"/>
      <c r="H28" s="1047"/>
      <c r="I28" s="1048"/>
    </row>
    <row r="29" spans="1:9" ht="16.2" hidden="1" customHeight="1">
      <c r="A29" s="1072"/>
      <c r="B29" s="1069"/>
      <c r="C29" s="442" t="s">
        <v>215</v>
      </c>
      <c r="D29" s="436"/>
      <c r="E29" s="1032"/>
      <c r="F29" s="437" t="s">
        <v>978</v>
      </c>
      <c r="G29" s="391"/>
      <c r="H29" s="1047"/>
      <c r="I29" s="1048"/>
    </row>
    <row r="30" spans="1:9" ht="18" customHeight="1">
      <c r="A30" s="1029" t="s">
        <v>498</v>
      </c>
      <c r="B30" s="1030" t="s">
        <v>499</v>
      </c>
      <c r="C30" s="1026"/>
      <c r="D30" s="1026"/>
      <c r="E30" s="1183" t="s">
        <v>9</v>
      </c>
      <c r="F30" s="266" t="s">
        <v>4</v>
      </c>
      <c r="G30" s="270">
        <f>SUM(G31:G32)</f>
        <v>0</v>
      </c>
      <c r="H30" s="1039" t="s">
        <v>9</v>
      </c>
      <c r="I30" s="1039"/>
    </row>
    <row r="31" spans="1:9" ht="18" customHeight="1">
      <c r="A31" s="1029"/>
      <c r="B31" s="1030"/>
      <c r="C31" s="443" t="s">
        <v>131</v>
      </c>
      <c r="D31" s="444">
        <f>D34</f>
        <v>0</v>
      </c>
      <c r="E31" s="1183"/>
      <c r="F31" s="266" t="s">
        <v>10</v>
      </c>
      <c r="G31" s="272">
        <f>G34</f>
        <v>0</v>
      </c>
      <c r="H31" s="1039"/>
      <c r="I31" s="1039"/>
    </row>
    <row r="32" spans="1:9" ht="18" customHeight="1">
      <c r="A32" s="1029"/>
      <c r="B32" s="1030"/>
      <c r="C32" s="443" t="s">
        <v>215</v>
      </c>
      <c r="D32" s="444">
        <f>D35</f>
        <v>0</v>
      </c>
      <c r="E32" s="1183"/>
      <c r="F32" s="266" t="s">
        <v>978</v>
      </c>
      <c r="G32" s="272">
        <f>G35</f>
        <v>0</v>
      </c>
      <c r="H32" s="1039"/>
      <c r="I32" s="1039"/>
    </row>
    <row r="33" spans="1:10" ht="18" hidden="1" customHeight="1">
      <c r="A33" s="1011" t="s">
        <v>108</v>
      </c>
      <c r="B33" s="1012" t="s">
        <v>946</v>
      </c>
      <c r="C33" s="1013"/>
      <c r="D33" s="1013"/>
      <c r="E33" s="839" t="s">
        <v>770</v>
      </c>
      <c r="F33" s="266" t="s">
        <v>4</v>
      </c>
      <c r="G33" s="393">
        <f>SUM(G34:G35)</f>
        <v>0</v>
      </c>
      <c r="H33" s="840" t="s">
        <v>84</v>
      </c>
      <c r="I33" s="840"/>
    </row>
    <row r="34" spans="1:10" ht="18" hidden="1" customHeight="1">
      <c r="A34" s="1011"/>
      <c r="B34" s="1012"/>
      <c r="C34" s="441" t="s">
        <v>131</v>
      </c>
      <c r="D34" s="273"/>
      <c r="E34" s="839"/>
      <c r="F34" s="274" t="s">
        <v>10</v>
      </c>
      <c r="G34" s="391"/>
      <c r="H34" s="840"/>
      <c r="I34" s="840"/>
    </row>
    <row r="35" spans="1:10" ht="18" hidden="1" customHeight="1">
      <c r="A35" s="1011"/>
      <c r="B35" s="1012"/>
      <c r="C35" s="441" t="s">
        <v>215</v>
      </c>
      <c r="D35" s="273"/>
      <c r="E35" s="839"/>
      <c r="F35" s="437" t="s">
        <v>978</v>
      </c>
      <c r="G35" s="391"/>
      <c r="H35" s="840"/>
      <c r="I35" s="840"/>
    </row>
    <row r="36" spans="1:10" ht="15.75" customHeight="1">
      <c r="A36" s="1055">
        <v>2</v>
      </c>
      <c r="B36" s="1203" t="s">
        <v>670</v>
      </c>
      <c r="C36" s="1061" t="s">
        <v>9</v>
      </c>
      <c r="D36" s="1064" t="s">
        <v>9</v>
      </c>
      <c r="E36" s="1185" t="s">
        <v>9</v>
      </c>
      <c r="F36" s="266" t="s">
        <v>4</v>
      </c>
      <c r="G36" s="270">
        <f>SUM(G37:G38)</f>
        <v>5114.4853299999995</v>
      </c>
      <c r="H36" s="1039" t="s">
        <v>9</v>
      </c>
      <c r="I36" s="1039"/>
    </row>
    <row r="37" spans="1:10" ht="15.75" customHeight="1">
      <c r="A37" s="1056"/>
      <c r="B37" s="1203"/>
      <c r="C37" s="1062"/>
      <c r="D37" s="1065"/>
      <c r="E37" s="1186"/>
      <c r="F37" s="266" t="s">
        <v>10</v>
      </c>
      <c r="G37" s="270">
        <f>G40+G46+G76+G100</f>
        <v>0</v>
      </c>
      <c r="H37" s="1039"/>
      <c r="I37" s="1039"/>
    </row>
    <row r="38" spans="1:10" ht="15.75" customHeight="1">
      <c r="A38" s="1056"/>
      <c r="B38" s="1203"/>
      <c r="C38" s="1062"/>
      <c r="D38" s="1065"/>
      <c r="E38" s="1186"/>
      <c r="F38" s="266" t="s">
        <v>978</v>
      </c>
      <c r="G38" s="270">
        <f>G41+G47+G77+G101</f>
        <v>5114.4853299999995</v>
      </c>
      <c r="H38" s="1039"/>
      <c r="I38" s="1039"/>
    </row>
    <row r="39" spans="1:10" ht="16.95" customHeight="1">
      <c r="A39" s="1219" t="s">
        <v>366</v>
      </c>
      <c r="B39" s="1074" t="s">
        <v>672</v>
      </c>
      <c r="C39" s="1061" t="s">
        <v>9</v>
      </c>
      <c r="D39" s="1064" t="s">
        <v>9</v>
      </c>
      <c r="E39" s="1185" t="s">
        <v>9</v>
      </c>
      <c r="F39" s="266" t="s">
        <v>4</v>
      </c>
      <c r="G39" s="270">
        <f>G40+G41</f>
        <v>2524.7853300000002</v>
      </c>
      <c r="H39" s="840" t="s">
        <v>87</v>
      </c>
      <c r="I39" s="840"/>
    </row>
    <row r="40" spans="1:10" ht="16.95" customHeight="1">
      <c r="A40" s="1220"/>
      <c r="B40" s="1075"/>
      <c r="C40" s="1062"/>
      <c r="D40" s="1065"/>
      <c r="E40" s="1186"/>
      <c r="F40" s="266" t="s">
        <v>10</v>
      </c>
      <c r="G40" s="270">
        <f>G43</f>
        <v>0</v>
      </c>
      <c r="H40" s="840"/>
      <c r="I40" s="840"/>
    </row>
    <row r="41" spans="1:10" ht="16.95" customHeight="1">
      <c r="A41" s="1220"/>
      <c r="B41" s="1075"/>
      <c r="C41" s="1062"/>
      <c r="D41" s="1065"/>
      <c r="E41" s="1186"/>
      <c r="F41" s="266" t="s">
        <v>978</v>
      </c>
      <c r="G41" s="270">
        <v>2524.7853300000002</v>
      </c>
      <c r="H41" s="840"/>
      <c r="I41" s="840"/>
    </row>
    <row r="42" spans="1:10" ht="15" hidden="1" customHeight="1">
      <c r="A42" s="1011" t="s">
        <v>169</v>
      </c>
      <c r="B42" s="1098"/>
      <c r="C42" s="1026" t="s">
        <v>43</v>
      </c>
      <c r="D42" s="1026"/>
      <c r="E42" s="1183" t="s">
        <v>579</v>
      </c>
      <c r="F42" s="266" t="s">
        <v>4</v>
      </c>
      <c r="G42" s="270">
        <f>G43+G44</f>
        <v>0</v>
      </c>
      <c r="H42" s="840"/>
      <c r="I42" s="840"/>
    </row>
    <row r="43" spans="1:10" ht="15" hidden="1" customHeight="1">
      <c r="A43" s="1011"/>
      <c r="B43" s="1098"/>
      <c r="C43" s="1026"/>
      <c r="D43" s="1026"/>
      <c r="E43" s="1183"/>
      <c r="F43" s="266" t="s">
        <v>10</v>
      </c>
      <c r="G43" s="272"/>
      <c r="H43" s="840"/>
      <c r="I43" s="840"/>
    </row>
    <row r="44" spans="1:10" ht="15" hidden="1" customHeight="1">
      <c r="A44" s="1011"/>
      <c r="B44" s="1099"/>
      <c r="C44" s="1026"/>
      <c r="D44" s="1026"/>
      <c r="E44" s="1183"/>
      <c r="F44" s="266" t="s">
        <v>11</v>
      </c>
      <c r="G44" s="270"/>
      <c r="H44" s="840"/>
      <c r="I44" s="840"/>
    </row>
    <row r="45" spans="1:10" ht="19.95" customHeight="1">
      <c r="A45" s="1232" t="s">
        <v>544</v>
      </c>
      <c r="B45" s="1012" t="s">
        <v>952</v>
      </c>
      <c r="C45" s="1061" t="s">
        <v>73</v>
      </c>
      <c r="D45" s="1242">
        <v>2.7</v>
      </c>
      <c r="E45" s="1183" t="s">
        <v>9</v>
      </c>
      <c r="F45" s="266" t="s">
        <v>4</v>
      </c>
      <c r="G45" s="270">
        <f>G46+G47</f>
        <v>2589.6999999999998</v>
      </c>
      <c r="H45" s="840" t="s">
        <v>84</v>
      </c>
      <c r="I45" s="840"/>
    </row>
    <row r="46" spans="1:10" ht="19.95" customHeight="1">
      <c r="A46" s="1232"/>
      <c r="B46" s="1012"/>
      <c r="C46" s="1062"/>
      <c r="D46" s="1243"/>
      <c r="E46" s="1183"/>
      <c r="F46" s="266" t="s">
        <v>10</v>
      </c>
      <c r="G46" s="270">
        <f>G49+G61</f>
        <v>0</v>
      </c>
      <c r="H46" s="840"/>
      <c r="I46" s="840"/>
    </row>
    <row r="47" spans="1:10" ht="19.95" customHeight="1">
      <c r="A47" s="1232"/>
      <c r="B47" s="1012"/>
      <c r="C47" s="1062"/>
      <c r="D47" s="1243"/>
      <c r="E47" s="1183"/>
      <c r="F47" s="266" t="s">
        <v>978</v>
      </c>
      <c r="G47" s="311">
        <v>2589.6999999999998</v>
      </c>
      <c r="H47" s="840"/>
      <c r="I47" s="840"/>
      <c r="J47" s="435"/>
    </row>
    <row r="48" spans="1:10" ht="15" hidden="1" customHeight="1">
      <c r="A48" s="1011" t="s">
        <v>958</v>
      </c>
      <c r="B48" s="1138"/>
      <c r="C48" s="839" t="s">
        <v>73</v>
      </c>
      <c r="D48" s="839"/>
      <c r="E48" s="839"/>
      <c r="F48" s="266" t="s">
        <v>4</v>
      </c>
      <c r="G48" s="393">
        <f>SUM(G49:G50)</f>
        <v>0</v>
      </c>
      <c r="H48" s="840" t="s">
        <v>84</v>
      </c>
      <c r="I48" s="840"/>
    </row>
    <row r="49" spans="1:9" ht="15" hidden="1" customHeight="1">
      <c r="A49" s="1011"/>
      <c r="B49" s="1184"/>
      <c r="C49" s="839"/>
      <c r="D49" s="839"/>
      <c r="E49" s="839"/>
      <c r="F49" s="274" t="s">
        <v>10</v>
      </c>
      <c r="G49" s="391">
        <v>0</v>
      </c>
      <c r="H49" s="840"/>
      <c r="I49" s="840"/>
    </row>
    <row r="50" spans="1:9" ht="15" hidden="1" customHeight="1">
      <c r="A50" s="1011"/>
      <c r="B50" s="1184"/>
      <c r="C50" s="839"/>
      <c r="D50" s="839"/>
      <c r="E50" s="839"/>
      <c r="F50" s="274" t="s">
        <v>978</v>
      </c>
      <c r="G50" s="391"/>
      <c r="H50" s="840"/>
      <c r="I50" s="840"/>
    </row>
    <row r="51" spans="1:9" ht="15" hidden="1" customHeight="1">
      <c r="A51" s="1011" t="s">
        <v>960</v>
      </c>
      <c r="B51" s="1138"/>
      <c r="C51" s="839" t="s">
        <v>73</v>
      </c>
      <c r="D51" s="839"/>
      <c r="E51" s="839"/>
      <c r="F51" s="266" t="s">
        <v>4</v>
      </c>
      <c r="G51" s="393">
        <f>SUM(G52:G53)</f>
        <v>0</v>
      </c>
      <c r="H51" s="840" t="s">
        <v>84</v>
      </c>
      <c r="I51" s="840"/>
    </row>
    <row r="52" spans="1:9" ht="15" hidden="1" customHeight="1">
      <c r="A52" s="1011"/>
      <c r="B52" s="1184"/>
      <c r="C52" s="839"/>
      <c r="D52" s="839"/>
      <c r="E52" s="839"/>
      <c r="F52" s="274" t="s">
        <v>10</v>
      </c>
      <c r="G52" s="391">
        <v>0</v>
      </c>
      <c r="H52" s="840"/>
      <c r="I52" s="840"/>
    </row>
    <row r="53" spans="1:9" ht="15" hidden="1" customHeight="1">
      <c r="A53" s="1011"/>
      <c r="B53" s="1184"/>
      <c r="C53" s="839"/>
      <c r="D53" s="839"/>
      <c r="E53" s="839"/>
      <c r="F53" s="274" t="s">
        <v>978</v>
      </c>
      <c r="G53" s="391"/>
      <c r="H53" s="840"/>
      <c r="I53" s="840"/>
    </row>
    <row r="54" spans="1:9" ht="15" hidden="1" customHeight="1">
      <c r="A54" s="1011" t="s">
        <v>993</v>
      </c>
      <c r="B54" s="1138"/>
      <c r="C54" s="839" t="s">
        <v>73</v>
      </c>
      <c r="D54" s="839"/>
      <c r="E54" s="839"/>
      <c r="F54" s="266" t="s">
        <v>4</v>
      </c>
      <c r="G54" s="393">
        <f t="shared" ref="G54" si="0">SUM(G55:G56)</f>
        <v>0</v>
      </c>
      <c r="H54" s="840" t="s">
        <v>84</v>
      </c>
      <c r="I54" s="840"/>
    </row>
    <row r="55" spans="1:9" ht="15" hidden="1" customHeight="1">
      <c r="A55" s="1011"/>
      <c r="B55" s="1184"/>
      <c r="C55" s="839"/>
      <c r="D55" s="839"/>
      <c r="E55" s="839"/>
      <c r="F55" s="274" t="s">
        <v>10</v>
      </c>
      <c r="G55" s="391">
        <v>0</v>
      </c>
      <c r="H55" s="840"/>
      <c r="I55" s="840"/>
    </row>
    <row r="56" spans="1:9" ht="15" hidden="1" customHeight="1">
      <c r="A56" s="1011"/>
      <c r="B56" s="1184"/>
      <c r="C56" s="839"/>
      <c r="D56" s="839"/>
      <c r="E56" s="839"/>
      <c r="F56" s="274" t="s">
        <v>978</v>
      </c>
      <c r="G56" s="391"/>
      <c r="H56" s="840"/>
      <c r="I56" s="840"/>
    </row>
    <row r="57" spans="1:9" ht="15" hidden="1" customHeight="1">
      <c r="A57" s="1011" t="s">
        <v>994</v>
      </c>
      <c r="B57" s="1138"/>
      <c r="C57" s="839" t="s">
        <v>73</v>
      </c>
      <c r="D57" s="839"/>
      <c r="E57" s="839"/>
      <c r="F57" s="266" t="s">
        <v>4</v>
      </c>
      <c r="G57" s="393">
        <f t="shared" ref="G57" si="1">SUM(G58:G59)</f>
        <v>0</v>
      </c>
      <c r="H57" s="840" t="s">
        <v>84</v>
      </c>
      <c r="I57" s="840"/>
    </row>
    <row r="58" spans="1:9" ht="15" hidden="1" customHeight="1">
      <c r="A58" s="1011"/>
      <c r="B58" s="1184"/>
      <c r="C58" s="839"/>
      <c r="D58" s="839"/>
      <c r="E58" s="839"/>
      <c r="F58" s="274" t="s">
        <v>10</v>
      </c>
      <c r="G58" s="391">
        <v>0</v>
      </c>
      <c r="H58" s="840"/>
      <c r="I58" s="840"/>
    </row>
    <row r="59" spans="1:9" ht="15" hidden="1" customHeight="1">
      <c r="A59" s="1011"/>
      <c r="B59" s="1184"/>
      <c r="C59" s="839"/>
      <c r="D59" s="839"/>
      <c r="E59" s="839"/>
      <c r="F59" s="274" t="s">
        <v>978</v>
      </c>
      <c r="G59" s="391"/>
      <c r="H59" s="840"/>
      <c r="I59" s="840"/>
    </row>
    <row r="60" spans="1:9" ht="13.95" hidden="1" customHeight="1">
      <c r="A60" s="1011" t="s">
        <v>995</v>
      </c>
      <c r="B60" s="1138"/>
      <c r="C60" s="1043"/>
      <c r="D60" s="839"/>
      <c r="E60" s="839"/>
      <c r="F60" s="266" t="s">
        <v>4</v>
      </c>
      <c r="G60" s="393">
        <f>SUM(G61:G62)</f>
        <v>0</v>
      </c>
      <c r="H60" s="840" t="s">
        <v>84</v>
      </c>
      <c r="I60" s="840"/>
    </row>
    <row r="61" spans="1:9" ht="13.95" hidden="1" customHeight="1">
      <c r="A61" s="1011"/>
      <c r="B61" s="1184"/>
      <c r="C61" s="1043"/>
      <c r="D61" s="839"/>
      <c r="E61" s="839"/>
      <c r="F61" s="274" t="s">
        <v>10</v>
      </c>
      <c r="G61" s="391">
        <v>0</v>
      </c>
      <c r="H61" s="840"/>
      <c r="I61" s="840"/>
    </row>
    <row r="62" spans="1:9" ht="13.95" hidden="1" customHeight="1">
      <c r="A62" s="1011"/>
      <c r="B62" s="1184"/>
      <c r="C62" s="1043"/>
      <c r="D62" s="839"/>
      <c r="E62" s="839"/>
      <c r="F62" s="274" t="s">
        <v>978</v>
      </c>
      <c r="G62" s="391"/>
      <c r="H62" s="840"/>
      <c r="I62" s="840"/>
    </row>
    <row r="63" spans="1:9" ht="15" hidden="1" customHeight="1">
      <c r="A63" s="1011"/>
      <c r="B63" s="1184"/>
      <c r="C63" s="1043"/>
      <c r="D63" s="839"/>
      <c r="E63" s="839"/>
      <c r="F63" s="266" t="s">
        <v>4</v>
      </c>
      <c r="G63" s="390"/>
      <c r="H63" s="840" t="s">
        <v>84</v>
      </c>
      <c r="I63" s="840"/>
    </row>
    <row r="64" spans="1:9" ht="15" hidden="1" customHeight="1">
      <c r="A64" s="1011"/>
      <c r="B64" s="1184"/>
      <c r="C64" s="1043"/>
      <c r="D64" s="839"/>
      <c r="E64" s="839"/>
      <c r="F64" s="274" t="s">
        <v>10</v>
      </c>
      <c r="G64" s="391"/>
      <c r="H64" s="840"/>
      <c r="I64" s="840"/>
    </row>
    <row r="65" spans="1:9" ht="15" hidden="1" customHeight="1">
      <c r="A65" s="1011"/>
      <c r="B65" s="1184"/>
      <c r="C65" s="1044"/>
      <c r="D65" s="839"/>
      <c r="E65" s="839"/>
      <c r="F65" s="274" t="s">
        <v>11</v>
      </c>
      <c r="G65" s="392"/>
      <c r="H65" s="840"/>
      <c r="I65" s="840"/>
    </row>
    <row r="66" spans="1:9" ht="15" hidden="1" customHeight="1">
      <c r="A66" s="1011"/>
      <c r="B66" s="1184"/>
      <c r="C66" s="1043"/>
      <c r="D66" s="839"/>
      <c r="E66" s="839"/>
      <c r="F66" s="266" t="s">
        <v>4</v>
      </c>
      <c r="G66" s="390"/>
      <c r="H66" s="840" t="s">
        <v>84</v>
      </c>
      <c r="I66" s="840"/>
    </row>
    <row r="67" spans="1:9" ht="15" hidden="1" customHeight="1">
      <c r="A67" s="1011"/>
      <c r="B67" s="1184"/>
      <c r="C67" s="1043"/>
      <c r="D67" s="839"/>
      <c r="E67" s="839"/>
      <c r="F67" s="274" t="s">
        <v>10</v>
      </c>
      <c r="G67" s="391"/>
      <c r="H67" s="840"/>
      <c r="I67" s="840"/>
    </row>
    <row r="68" spans="1:9" ht="15" hidden="1" customHeight="1">
      <c r="A68" s="1011"/>
      <c r="B68" s="1184"/>
      <c r="C68" s="1044"/>
      <c r="D68" s="839"/>
      <c r="E68" s="839"/>
      <c r="F68" s="274" t="s">
        <v>11</v>
      </c>
      <c r="G68" s="392"/>
      <c r="H68" s="840"/>
      <c r="I68" s="840"/>
    </row>
    <row r="69" spans="1:9" ht="15" hidden="1" customHeight="1">
      <c r="A69" s="1011"/>
      <c r="B69" s="1184"/>
      <c r="C69" s="1043"/>
      <c r="D69" s="839"/>
      <c r="E69" s="839"/>
      <c r="F69" s="266" t="s">
        <v>4</v>
      </c>
      <c r="G69" s="390"/>
      <c r="H69" s="840" t="s">
        <v>84</v>
      </c>
      <c r="I69" s="840"/>
    </row>
    <row r="70" spans="1:9" ht="15" hidden="1" customHeight="1">
      <c r="A70" s="1011"/>
      <c r="B70" s="1184"/>
      <c r="C70" s="1043"/>
      <c r="D70" s="839"/>
      <c r="E70" s="839"/>
      <c r="F70" s="274" t="s">
        <v>10</v>
      </c>
      <c r="G70" s="391"/>
      <c r="H70" s="840"/>
      <c r="I70" s="840"/>
    </row>
    <row r="71" spans="1:9" ht="15" hidden="1" customHeight="1">
      <c r="A71" s="1011"/>
      <c r="B71" s="1184"/>
      <c r="C71" s="1044"/>
      <c r="D71" s="839"/>
      <c r="E71" s="839"/>
      <c r="F71" s="274" t="s">
        <v>11</v>
      </c>
      <c r="G71" s="392"/>
      <c r="H71" s="840"/>
      <c r="I71" s="840"/>
    </row>
    <row r="72" spans="1:9" ht="15" hidden="1" customHeight="1">
      <c r="A72" s="1011"/>
      <c r="B72" s="1184"/>
      <c r="C72" s="1043"/>
      <c r="D72" s="839"/>
      <c r="E72" s="839"/>
      <c r="F72" s="266" t="s">
        <v>4</v>
      </c>
      <c r="G72" s="390"/>
      <c r="H72" s="840" t="s">
        <v>84</v>
      </c>
      <c r="I72" s="840"/>
    </row>
    <row r="73" spans="1:9" ht="15" hidden="1" customHeight="1">
      <c r="A73" s="1011"/>
      <c r="B73" s="1184"/>
      <c r="C73" s="1043"/>
      <c r="D73" s="839"/>
      <c r="E73" s="839"/>
      <c r="F73" s="274" t="s">
        <v>10</v>
      </c>
      <c r="G73" s="391"/>
      <c r="H73" s="840"/>
      <c r="I73" s="840"/>
    </row>
    <row r="74" spans="1:9" ht="15" hidden="1" customHeight="1">
      <c r="A74" s="1011"/>
      <c r="B74" s="1184"/>
      <c r="C74" s="1044"/>
      <c r="D74" s="1042"/>
      <c r="E74" s="839"/>
      <c r="F74" s="274" t="s">
        <v>11</v>
      </c>
      <c r="G74" s="392"/>
      <c r="H74" s="840"/>
      <c r="I74" s="840"/>
    </row>
    <row r="75" spans="1:9" ht="15.6" customHeight="1">
      <c r="A75" s="1232" t="s">
        <v>549</v>
      </c>
      <c r="B75" s="1012" t="s">
        <v>1013</v>
      </c>
      <c r="C75" s="1026" t="s">
        <v>9</v>
      </c>
      <c r="D75" s="1071" t="s">
        <v>9</v>
      </c>
      <c r="E75" s="839" t="s">
        <v>9</v>
      </c>
      <c r="F75" s="266" t="s">
        <v>4</v>
      </c>
      <c r="G75" s="270">
        <f>SUM(G76:G77)</f>
        <v>0</v>
      </c>
      <c r="H75" s="839" t="s">
        <v>9</v>
      </c>
      <c r="I75" s="839"/>
    </row>
    <row r="76" spans="1:9" ht="15.6" customHeight="1">
      <c r="A76" s="1232"/>
      <c r="B76" s="1012"/>
      <c r="C76" s="1026"/>
      <c r="D76" s="1071"/>
      <c r="E76" s="839"/>
      <c r="F76" s="266" t="s">
        <v>10</v>
      </c>
      <c r="G76" s="270">
        <f>G91+G94+G97</f>
        <v>0</v>
      </c>
      <c r="H76" s="839"/>
      <c r="I76" s="839"/>
    </row>
    <row r="77" spans="1:9" ht="15.6" customHeight="1">
      <c r="A77" s="1232"/>
      <c r="B77" s="1012"/>
      <c r="C77" s="1026"/>
      <c r="D77" s="1071"/>
      <c r="E77" s="839"/>
      <c r="F77" s="266" t="s">
        <v>978</v>
      </c>
      <c r="G77" s="270">
        <f>G92</f>
        <v>0</v>
      </c>
      <c r="H77" s="839"/>
      <c r="I77" s="839"/>
    </row>
    <row r="78" spans="1:9" ht="16.2" hidden="1" customHeight="1">
      <c r="A78" s="1011"/>
      <c r="B78" s="1099"/>
      <c r="C78" s="1013" t="s">
        <v>66</v>
      </c>
      <c r="D78" s="1053">
        <v>1</v>
      </c>
      <c r="E78" s="839"/>
      <c r="F78" s="266" t="s">
        <v>4</v>
      </c>
      <c r="G78" s="393"/>
      <c r="H78" s="1045" t="s">
        <v>85</v>
      </c>
      <c r="I78" s="1046"/>
    </row>
    <row r="79" spans="1:9" ht="16.2" hidden="1" customHeight="1">
      <c r="A79" s="1011"/>
      <c r="B79" s="1012"/>
      <c r="C79" s="1013"/>
      <c r="D79" s="1053"/>
      <c r="E79" s="839"/>
      <c r="F79" s="274" t="s">
        <v>10</v>
      </c>
      <c r="G79" s="391"/>
      <c r="H79" s="1047"/>
      <c r="I79" s="1048"/>
    </row>
    <row r="80" spans="1:9" ht="16.2" hidden="1" customHeight="1">
      <c r="A80" s="1011"/>
      <c r="B80" s="1012"/>
      <c r="C80" s="1013"/>
      <c r="D80" s="1053"/>
      <c r="E80" s="839"/>
      <c r="F80" s="274" t="s">
        <v>11</v>
      </c>
      <c r="G80" s="392"/>
      <c r="H80" s="1049"/>
      <c r="I80" s="1050"/>
    </row>
    <row r="81" spans="1:9" ht="16.2" hidden="1" customHeight="1">
      <c r="A81" s="1011"/>
      <c r="B81" s="1012"/>
      <c r="C81" s="1013" t="s">
        <v>43</v>
      </c>
      <c r="D81" s="1013">
        <v>5</v>
      </c>
      <c r="E81" s="839"/>
      <c r="F81" s="266" t="s">
        <v>4</v>
      </c>
      <c r="G81" s="390"/>
      <c r="H81" s="1045" t="s">
        <v>85</v>
      </c>
      <c r="I81" s="1046"/>
    </row>
    <row r="82" spans="1:9" ht="16.2" hidden="1" customHeight="1">
      <c r="A82" s="1011"/>
      <c r="B82" s="1012"/>
      <c r="C82" s="1013"/>
      <c r="D82" s="1013"/>
      <c r="E82" s="839"/>
      <c r="F82" s="274" t="s">
        <v>10</v>
      </c>
      <c r="G82" s="391"/>
      <c r="H82" s="1047"/>
      <c r="I82" s="1048"/>
    </row>
    <row r="83" spans="1:9" ht="16.2" hidden="1" customHeight="1">
      <c r="A83" s="1011"/>
      <c r="B83" s="1012"/>
      <c r="C83" s="1013"/>
      <c r="D83" s="1013"/>
      <c r="E83" s="839"/>
      <c r="F83" s="274" t="s">
        <v>11</v>
      </c>
      <c r="G83" s="392"/>
      <c r="H83" s="1049"/>
      <c r="I83" s="1050"/>
    </row>
    <row r="84" spans="1:9" ht="16.2" hidden="1" customHeight="1">
      <c r="A84" s="1011"/>
      <c r="B84" s="1012"/>
      <c r="C84" s="840" t="s">
        <v>43</v>
      </c>
      <c r="D84" s="840">
        <v>1</v>
      </c>
      <c r="E84" s="839"/>
      <c r="F84" s="266" t="s">
        <v>4</v>
      </c>
      <c r="G84" s="390"/>
      <c r="H84" s="1045" t="s">
        <v>85</v>
      </c>
      <c r="I84" s="1046"/>
    </row>
    <row r="85" spans="1:9" ht="16.2" hidden="1" customHeight="1">
      <c r="A85" s="1011"/>
      <c r="B85" s="1012"/>
      <c r="C85" s="840"/>
      <c r="D85" s="840"/>
      <c r="E85" s="839"/>
      <c r="F85" s="274" t="s">
        <v>10</v>
      </c>
      <c r="G85" s="391"/>
      <c r="H85" s="1047"/>
      <c r="I85" s="1048"/>
    </row>
    <row r="86" spans="1:9" ht="16.2" hidden="1" customHeight="1">
      <c r="A86" s="1011"/>
      <c r="B86" s="1012"/>
      <c r="C86" s="840"/>
      <c r="D86" s="840"/>
      <c r="E86" s="839"/>
      <c r="F86" s="274" t="s">
        <v>11</v>
      </c>
      <c r="G86" s="392"/>
      <c r="H86" s="1049"/>
      <c r="I86" s="1050"/>
    </row>
    <row r="87" spans="1:9" ht="16.2" hidden="1" customHeight="1">
      <c r="A87" s="1011"/>
      <c r="B87" s="1097"/>
      <c r="C87" s="840" t="s">
        <v>43</v>
      </c>
      <c r="D87" s="840">
        <v>3</v>
      </c>
      <c r="E87" s="839"/>
      <c r="F87" s="266" t="s">
        <v>4</v>
      </c>
      <c r="G87" s="390">
        <f>G88+G89</f>
        <v>0</v>
      </c>
      <c r="H87" s="840" t="s">
        <v>84</v>
      </c>
      <c r="I87" s="840"/>
    </row>
    <row r="88" spans="1:9" ht="16.2" hidden="1" customHeight="1">
      <c r="A88" s="1011"/>
      <c r="B88" s="1098"/>
      <c r="C88" s="840"/>
      <c r="D88" s="840"/>
      <c r="E88" s="839"/>
      <c r="F88" s="274" t="s">
        <v>10</v>
      </c>
      <c r="G88" s="391">
        <v>0</v>
      </c>
      <c r="H88" s="840"/>
      <c r="I88" s="840"/>
    </row>
    <row r="89" spans="1:9" ht="16.2" hidden="1" customHeight="1">
      <c r="A89" s="1011"/>
      <c r="B89" s="1099"/>
      <c r="C89" s="840"/>
      <c r="D89" s="840"/>
      <c r="E89" s="839"/>
      <c r="F89" s="274" t="s">
        <v>11</v>
      </c>
      <c r="G89" s="392">
        <v>0</v>
      </c>
      <c r="H89" s="840"/>
      <c r="I89" s="840"/>
    </row>
    <row r="90" spans="1:9" ht="12.75" customHeight="1">
      <c r="A90" s="1011" t="s">
        <v>954</v>
      </c>
      <c r="B90" s="1012" t="s">
        <v>565</v>
      </c>
      <c r="C90" s="840" t="s">
        <v>43</v>
      </c>
      <c r="D90" s="840">
        <v>1</v>
      </c>
      <c r="E90" s="839" t="s">
        <v>1000</v>
      </c>
      <c r="F90" s="266" t="s">
        <v>4</v>
      </c>
      <c r="G90" s="393">
        <f>SUM(G91:G92)</f>
        <v>0</v>
      </c>
      <c r="H90" s="840" t="s">
        <v>84</v>
      </c>
      <c r="I90" s="840"/>
    </row>
    <row r="91" spans="1:9" ht="12.75" customHeight="1">
      <c r="A91" s="1011"/>
      <c r="B91" s="1012"/>
      <c r="C91" s="840"/>
      <c r="D91" s="840"/>
      <c r="E91" s="839"/>
      <c r="F91" s="274" t="s">
        <v>10</v>
      </c>
      <c r="G91" s="391">
        <v>0</v>
      </c>
      <c r="H91" s="840"/>
      <c r="I91" s="840"/>
    </row>
    <row r="92" spans="1:9" ht="12.75" customHeight="1">
      <c r="A92" s="1011"/>
      <c r="B92" s="1097"/>
      <c r="C92" s="840"/>
      <c r="D92" s="840"/>
      <c r="E92" s="839"/>
      <c r="F92" s="274" t="s">
        <v>978</v>
      </c>
      <c r="G92" s="391">
        <v>0</v>
      </c>
      <c r="H92" s="840"/>
      <c r="I92" s="840"/>
    </row>
    <row r="93" spans="1:9" ht="12.75" hidden="1" customHeight="1">
      <c r="A93" s="1086" t="s">
        <v>955</v>
      </c>
      <c r="B93" s="1097"/>
      <c r="C93" s="958"/>
      <c r="D93" s="958"/>
      <c r="E93" s="1042"/>
      <c r="F93" s="266" t="s">
        <v>4</v>
      </c>
      <c r="G93" s="393">
        <f>SUM(G94:G95)</f>
        <v>0</v>
      </c>
      <c r="H93" s="1045"/>
      <c r="I93" s="1046"/>
    </row>
    <row r="94" spans="1:9" ht="12.75" hidden="1" customHeight="1">
      <c r="A94" s="1072"/>
      <c r="B94" s="1098"/>
      <c r="C94" s="1096"/>
      <c r="D94" s="1096"/>
      <c r="E94" s="1043"/>
      <c r="F94" s="274" t="s">
        <v>10</v>
      </c>
      <c r="G94" s="391"/>
      <c r="H94" s="1047"/>
      <c r="I94" s="1048"/>
    </row>
    <row r="95" spans="1:9" ht="12.75" hidden="1" customHeight="1">
      <c r="A95" s="1073"/>
      <c r="B95" s="1099"/>
      <c r="C95" s="959"/>
      <c r="D95" s="959"/>
      <c r="E95" s="1044"/>
      <c r="F95" s="274" t="s">
        <v>978</v>
      </c>
      <c r="G95" s="391"/>
      <c r="H95" s="1049"/>
      <c r="I95" s="1050"/>
    </row>
    <row r="96" spans="1:9" ht="13.2" hidden="1" customHeight="1">
      <c r="A96" s="1011" t="s">
        <v>956</v>
      </c>
      <c r="B96" s="1012"/>
      <c r="C96" s="1013"/>
      <c r="D96" s="1013"/>
      <c r="E96" s="839"/>
      <c r="F96" s="266" t="s">
        <v>4</v>
      </c>
      <c r="G96" s="393">
        <f>SUM(G97:G98)</f>
        <v>0</v>
      </c>
      <c r="H96" s="840"/>
      <c r="I96" s="840"/>
    </row>
    <row r="97" spans="1:11" ht="13.2" hidden="1" customHeight="1">
      <c r="A97" s="1011"/>
      <c r="B97" s="1012"/>
      <c r="C97" s="1013"/>
      <c r="D97" s="1013"/>
      <c r="E97" s="839"/>
      <c r="F97" s="274" t="s">
        <v>10</v>
      </c>
      <c r="G97" s="391"/>
      <c r="H97" s="840"/>
      <c r="I97" s="840"/>
    </row>
    <row r="98" spans="1:11" ht="13.2" hidden="1" customHeight="1">
      <c r="A98" s="1011"/>
      <c r="B98" s="1012"/>
      <c r="C98" s="1013"/>
      <c r="D98" s="1013"/>
      <c r="E98" s="839"/>
      <c r="F98" s="274" t="s">
        <v>978</v>
      </c>
      <c r="G98" s="391"/>
      <c r="H98" s="840"/>
      <c r="I98" s="840"/>
    </row>
    <row r="99" spans="1:11" ht="13.95" hidden="1" customHeight="1">
      <c r="A99" s="1011" t="s">
        <v>983</v>
      </c>
      <c r="B99" s="1012" t="s">
        <v>957</v>
      </c>
      <c r="C99" s="1026" t="s">
        <v>9</v>
      </c>
      <c r="D99" s="1026" t="s">
        <v>9</v>
      </c>
      <c r="E99" s="1183" t="s">
        <v>9</v>
      </c>
      <c r="F99" s="266" t="s">
        <v>4</v>
      </c>
      <c r="G99" s="270">
        <f>SUM(G100:G101)</f>
        <v>0</v>
      </c>
      <c r="H99" s="1039"/>
      <c r="I99" s="1039"/>
    </row>
    <row r="100" spans="1:11" ht="13.95" hidden="1" customHeight="1">
      <c r="A100" s="1011"/>
      <c r="B100" s="1012"/>
      <c r="C100" s="1026"/>
      <c r="D100" s="1026"/>
      <c r="E100" s="1183"/>
      <c r="F100" s="266" t="s">
        <v>10</v>
      </c>
      <c r="G100" s="272">
        <f>G103</f>
        <v>0</v>
      </c>
      <c r="H100" s="1039"/>
      <c r="I100" s="1039"/>
    </row>
    <row r="101" spans="1:11" ht="13.95" hidden="1" customHeight="1">
      <c r="A101" s="1011"/>
      <c r="B101" s="1012"/>
      <c r="C101" s="1026"/>
      <c r="D101" s="1026"/>
      <c r="E101" s="1183"/>
      <c r="F101" s="266" t="s">
        <v>978</v>
      </c>
      <c r="G101" s="272">
        <f>G104</f>
        <v>0</v>
      </c>
      <c r="H101" s="1039"/>
      <c r="I101" s="1039"/>
    </row>
    <row r="102" spans="1:11" ht="13.2" hidden="1" customHeight="1">
      <c r="A102" s="1011" t="s">
        <v>984</v>
      </c>
      <c r="B102" s="1099" t="s">
        <v>687</v>
      </c>
      <c r="C102" s="840" t="s">
        <v>43</v>
      </c>
      <c r="D102" s="840"/>
      <c r="E102" s="839" t="s">
        <v>1000</v>
      </c>
      <c r="F102" s="266" t="s">
        <v>4</v>
      </c>
      <c r="G102" s="393">
        <f>SUM(G103:G104)</f>
        <v>0</v>
      </c>
      <c r="H102" s="840" t="s">
        <v>87</v>
      </c>
      <c r="I102" s="840"/>
    </row>
    <row r="103" spans="1:11" ht="13.2" hidden="1" customHeight="1">
      <c r="A103" s="1011"/>
      <c r="B103" s="1012"/>
      <c r="C103" s="840"/>
      <c r="D103" s="840"/>
      <c r="E103" s="839"/>
      <c r="F103" s="274" t="s">
        <v>10</v>
      </c>
      <c r="G103" s="391">
        <v>0</v>
      </c>
      <c r="H103" s="840"/>
      <c r="I103" s="840"/>
    </row>
    <row r="104" spans="1:11" ht="13.2" hidden="1" customHeight="1">
      <c r="A104" s="1011"/>
      <c r="B104" s="1012"/>
      <c r="C104" s="840"/>
      <c r="D104" s="840"/>
      <c r="E104" s="839"/>
      <c r="F104" s="274" t="s">
        <v>978</v>
      </c>
      <c r="G104" s="391">
        <v>0</v>
      </c>
      <c r="H104" s="840"/>
      <c r="I104" s="840"/>
    </row>
    <row r="105" spans="1:11" ht="13.5" hidden="1" customHeight="1">
      <c r="A105" s="1011" t="s">
        <v>986</v>
      </c>
      <c r="B105" s="1012" t="s">
        <v>687</v>
      </c>
      <c r="C105" s="1013" t="s">
        <v>9</v>
      </c>
      <c r="D105" s="1013" t="s">
        <v>9</v>
      </c>
      <c r="E105" s="839" t="s">
        <v>9</v>
      </c>
      <c r="F105" s="266" t="s">
        <v>4</v>
      </c>
      <c r="G105" s="270">
        <f>G106+G107</f>
        <v>0</v>
      </c>
      <c r="H105" s="840" t="s">
        <v>87</v>
      </c>
      <c r="I105" s="840"/>
    </row>
    <row r="106" spans="1:11" ht="13.5" hidden="1" customHeight="1">
      <c r="A106" s="1011"/>
      <c r="B106" s="1012"/>
      <c r="C106" s="1013"/>
      <c r="D106" s="1013"/>
      <c r="E106" s="839"/>
      <c r="F106" s="274" t="s">
        <v>10</v>
      </c>
      <c r="G106" s="275">
        <v>0</v>
      </c>
      <c r="H106" s="840"/>
      <c r="I106" s="840"/>
    </row>
    <row r="107" spans="1:11" ht="13.5" hidden="1" customHeight="1">
      <c r="A107" s="1011"/>
      <c r="B107" s="1012"/>
      <c r="C107" s="1013"/>
      <c r="D107" s="1013"/>
      <c r="E107" s="839"/>
      <c r="F107" s="274" t="s">
        <v>11</v>
      </c>
      <c r="G107" s="275"/>
      <c r="H107" s="840"/>
      <c r="I107" s="840"/>
    </row>
    <row r="108" spans="1:11" ht="13.95" customHeight="1">
      <c r="A108" s="1024"/>
      <c r="B108" s="1030" t="s">
        <v>378</v>
      </c>
      <c r="C108" s="1026" t="s">
        <v>9</v>
      </c>
      <c r="D108" s="1182" t="s">
        <v>9</v>
      </c>
      <c r="E108" s="1026" t="s">
        <v>9</v>
      </c>
      <c r="F108" s="266" t="s">
        <v>4</v>
      </c>
      <c r="G108" s="270">
        <f>G6+G36</f>
        <v>72114.485329999996</v>
      </c>
      <c r="H108" s="1183" t="s">
        <v>9</v>
      </c>
      <c r="I108" s="1183"/>
      <c r="K108" s="435"/>
    </row>
    <row r="109" spans="1:11" ht="13.95" customHeight="1">
      <c r="A109" s="1024"/>
      <c r="B109" s="1030"/>
      <c r="C109" s="1026"/>
      <c r="D109" s="1182"/>
      <c r="E109" s="1026"/>
      <c r="F109" s="266" t="s">
        <v>10</v>
      </c>
      <c r="G109" s="270">
        <f>G7+G37</f>
        <v>60000</v>
      </c>
      <c r="H109" s="1183"/>
      <c r="I109" s="1183"/>
    </row>
    <row r="110" spans="1:11" ht="13.95" customHeight="1">
      <c r="A110" s="1024"/>
      <c r="B110" s="1030"/>
      <c r="C110" s="1026"/>
      <c r="D110" s="1182"/>
      <c r="E110" s="1026"/>
      <c r="F110" s="266" t="s">
        <v>978</v>
      </c>
      <c r="G110" s="270">
        <f>G8+G38</f>
        <v>12114.48533</v>
      </c>
      <c r="H110" s="1183"/>
      <c r="I110" s="1183"/>
    </row>
    <row r="111" spans="1:11">
      <c r="G111" s="550">
        <f>G41+G93+G102+G105</f>
        <v>2524.7853300000002</v>
      </c>
      <c r="H111" s="551" t="s">
        <v>685</v>
      </c>
      <c r="I111" s="551"/>
    </row>
    <row r="112" spans="1:11">
      <c r="G112" s="550">
        <f>G8+G47+G92</f>
        <v>9589.7000000000007</v>
      </c>
      <c r="H112" s="551" t="s">
        <v>961</v>
      </c>
      <c r="I112" s="550">
        <f>G112-G8</f>
        <v>2589.7000000000007</v>
      </c>
    </row>
    <row r="113" spans="7:9">
      <c r="G113" s="550">
        <f>G98</f>
        <v>0</v>
      </c>
      <c r="H113" s="551" t="s">
        <v>962</v>
      </c>
      <c r="I113" s="551"/>
    </row>
    <row r="116" spans="7:9">
      <c r="G116" s="439"/>
    </row>
  </sheetData>
  <mergeCells count="210">
    <mergeCell ref="A108:A110"/>
    <mergeCell ref="B108:B110"/>
    <mergeCell ref="C108:C110"/>
    <mergeCell ref="D108:D110"/>
    <mergeCell ref="E108:E110"/>
    <mergeCell ref="H108:I110"/>
    <mergeCell ref="A105:A107"/>
    <mergeCell ref="B105:B107"/>
    <mergeCell ref="C105:C107"/>
    <mergeCell ref="D105:D107"/>
    <mergeCell ref="E105:E107"/>
    <mergeCell ref="H105:I107"/>
    <mergeCell ref="A102:A104"/>
    <mergeCell ref="B102:B104"/>
    <mergeCell ref="C102:C104"/>
    <mergeCell ref="D102:D104"/>
    <mergeCell ref="E102:E104"/>
    <mergeCell ref="H102:I104"/>
    <mergeCell ref="A99:A101"/>
    <mergeCell ref="B99:B101"/>
    <mergeCell ref="C99:C101"/>
    <mergeCell ref="D99:D101"/>
    <mergeCell ref="E99:E101"/>
    <mergeCell ref="H99:I101"/>
    <mergeCell ref="A96:A98"/>
    <mergeCell ref="B96:B98"/>
    <mergeCell ref="C96:C98"/>
    <mergeCell ref="D96:D98"/>
    <mergeCell ref="E96:E98"/>
    <mergeCell ref="H96:I98"/>
    <mergeCell ref="A93:A95"/>
    <mergeCell ref="B93:B95"/>
    <mergeCell ref="C93:C95"/>
    <mergeCell ref="D93:D95"/>
    <mergeCell ref="E93:E95"/>
    <mergeCell ref="H93:I95"/>
    <mergeCell ref="A90:A92"/>
    <mergeCell ref="B90:B92"/>
    <mergeCell ref="C90:C92"/>
    <mergeCell ref="D90:D92"/>
    <mergeCell ref="E90:E92"/>
    <mergeCell ref="H90:I92"/>
    <mergeCell ref="A87:A89"/>
    <mergeCell ref="B87:B89"/>
    <mergeCell ref="C87:C89"/>
    <mergeCell ref="D87:D89"/>
    <mergeCell ref="E87:E89"/>
    <mergeCell ref="H87:I89"/>
    <mergeCell ref="A84:A86"/>
    <mergeCell ref="B84:B86"/>
    <mergeCell ref="C84:C86"/>
    <mergeCell ref="D84:D86"/>
    <mergeCell ref="E84:E86"/>
    <mergeCell ref="H84:I86"/>
    <mergeCell ref="A81:A83"/>
    <mergeCell ref="B81:B83"/>
    <mergeCell ref="C81:C83"/>
    <mergeCell ref="D81:D83"/>
    <mergeCell ref="E81:E83"/>
    <mergeCell ref="H81:I83"/>
    <mergeCell ref="A78:A80"/>
    <mergeCell ref="B78:B80"/>
    <mergeCell ref="C78:C80"/>
    <mergeCell ref="D78:D80"/>
    <mergeCell ref="E78:E80"/>
    <mergeCell ref="H78:I80"/>
    <mergeCell ref="A75:A77"/>
    <mergeCell ref="B75:B77"/>
    <mergeCell ref="C75:C77"/>
    <mergeCell ref="D75:D77"/>
    <mergeCell ref="E75:E77"/>
    <mergeCell ref="H75:I77"/>
    <mergeCell ref="A72:A74"/>
    <mergeCell ref="B72:B74"/>
    <mergeCell ref="C72:C74"/>
    <mergeCell ref="D72:D74"/>
    <mergeCell ref="E72:E74"/>
    <mergeCell ref="H72:I74"/>
    <mergeCell ref="A69:A71"/>
    <mergeCell ref="B69:B71"/>
    <mergeCell ref="C69:C71"/>
    <mergeCell ref="D69:D71"/>
    <mergeCell ref="E69:E71"/>
    <mergeCell ref="H69:I71"/>
    <mergeCell ref="A66:A68"/>
    <mergeCell ref="B66:B68"/>
    <mergeCell ref="C66:C68"/>
    <mergeCell ref="D66:D68"/>
    <mergeCell ref="E66:E68"/>
    <mergeCell ref="H66:I68"/>
    <mergeCell ref="A63:A65"/>
    <mergeCell ref="B63:B65"/>
    <mergeCell ref="C63:C65"/>
    <mergeCell ref="D63:D65"/>
    <mergeCell ref="E63:E65"/>
    <mergeCell ref="H63:I65"/>
    <mergeCell ref="A60:A62"/>
    <mergeCell ref="B60:B62"/>
    <mergeCell ref="C60:C62"/>
    <mergeCell ref="D60:D62"/>
    <mergeCell ref="E60:E62"/>
    <mergeCell ref="H60:I62"/>
    <mergeCell ref="A57:A59"/>
    <mergeCell ref="B57:B59"/>
    <mergeCell ref="C57:C59"/>
    <mergeCell ref="D57:D59"/>
    <mergeCell ref="E57:E59"/>
    <mergeCell ref="H57:I59"/>
    <mergeCell ref="A54:A56"/>
    <mergeCell ref="B54:B56"/>
    <mergeCell ref="C54:C56"/>
    <mergeCell ref="D54:D56"/>
    <mergeCell ref="E54:E56"/>
    <mergeCell ref="H54:I56"/>
    <mergeCell ref="A51:A53"/>
    <mergeCell ref="B51:B53"/>
    <mergeCell ref="C51:C53"/>
    <mergeCell ref="D51:D53"/>
    <mergeCell ref="E51:E53"/>
    <mergeCell ref="H51:I53"/>
    <mergeCell ref="A48:A50"/>
    <mergeCell ref="B48:B50"/>
    <mergeCell ref="C48:C50"/>
    <mergeCell ref="D48:D50"/>
    <mergeCell ref="E48:E50"/>
    <mergeCell ref="H48:I50"/>
    <mergeCell ref="A45:A47"/>
    <mergeCell ref="B45:B47"/>
    <mergeCell ref="C45:C47"/>
    <mergeCell ref="D45:D47"/>
    <mergeCell ref="E45:E47"/>
    <mergeCell ref="H45:I47"/>
    <mergeCell ref="A42:A44"/>
    <mergeCell ref="B42:B44"/>
    <mergeCell ref="C42:C44"/>
    <mergeCell ref="D42:D44"/>
    <mergeCell ref="E42:E44"/>
    <mergeCell ref="H42:I44"/>
    <mergeCell ref="A39:A41"/>
    <mergeCell ref="B39:B41"/>
    <mergeCell ref="C39:C41"/>
    <mergeCell ref="D39:D41"/>
    <mergeCell ref="E39:E41"/>
    <mergeCell ref="H39:I41"/>
    <mergeCell ref="A36:A38"/>
    <mergeCell ref="B36:B38"/>
    <mergeCell ref="C36:C38"/>
    <mergeCell ref="D36:D38"/>
    <mergeCell ref="E36:E38"/>
    <mergeCell ref="H36:I38"/>
    <mergeCell ref="A30:A32"/>
    <mergeCell ref="B30:B32"/>
    <mergeCell ref="C30:D30"/>
    <mergeCell ref="E30:E32"/>
    <mergeCell ref="H30:I32"/>
    <mergeCell ref="A33:A35"/>
    <mergeCell ref="B33:B35"/>
    <mergeCell ref="C33:D33"/>
    <mergeCell ref="E33:E35"/>
    <mergeCell ref="H33:I35"/>
    <mergeCell ref="A24:A26"/>
    <mergeCell ref="B24:B26"/>
    <mergeCell ref="C24:D24"/>
    <mergeCell ref="E24:E26"/>
    <mergeCell ref="H24:I26"/>
    <mergeCell ref="A27:A29"/>
    <mergeCell ref="B27:B29"/>
    <mergeCell ref="C27:D27"/>
    <mergeCell ref="E27:E29"/>
    <mergeCell ref="H27:I29"/>
    <mergeCell ref="A18:A20"/>
    <mergeCell ref="B18:B20"/>
    <mergeCell ref="C18:D18"/>
    <mergeCell ref="E18:E20"/>
    <mergeCell ref="H18:I20"/>
    <mergeCell ref="A21:A23"/>
    <mergeCell ref="B21:B23"/>
    <mergeCell ref="C21:D21"/>
    <mergeCell ref="E21:E23"/>
    <mergeCell ref="H21:I23"/>
    <mergeCell ref="A12:A14"/>
    <mergeCell ref="B12:B14"/>
    <mergeCell ref="C12:D12"/>
    <mergeCell ref="E12:E14"/>
    <mergeCell ref="H12:I14"/>
    <mergeCell ref="A15:A17"/>
    <mergeCell ref="B15:B17"/>
    <mergeCell ref="C15:D15"/>
    <mergeCell ref="E15:E17"/>
    <mergeCell ref="H15:I17"/>
    <mergeCell ref="A6:A8"/>
    <mergeCell ref="B6:B8"/>
    <mergeCell ref="C6:D6"/>
    <mergeCell ref="E6:E8"/>
    <mergeCell ref="H6:I8"/>
    <mergeCell ref="A9:A11"/>
    <mergeCell ref="B9:B11"/>
    <mergeCell ref="C9:D9"/>
    <mergeCell ref="E9:E11"/>
    <mergeCell ref="H9:I11"/>
    <mergeCell ref="F1:I1"/>
    <mergeCell ref="A2:I2"/>
    <mergeCell ref="A3:A5"/>
    <mergeCell ref="B3:B5"/>
    <mergeCell ref="C3:C5"/>
    <mergeCell ref="D3:D5"/>
    <mergeCell ref="E3:E5"/>
    <mergeCell ref="F3:F5"/>
    <mergeCell ref="G3:G5"/>
    <mergeCell ref="H3:I5"/>
  </mergeCells>
  <pageMargins left="0.78740157480314965" right="0.39370078740157483" top="0" bottom="0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Y116"/>
  <sheetViews>
    <sheetView topLeftCell="A39" workbookViewId="0">
      <selection activeCell="B6" sqref="B6:B38"/>
    </sheetView>
  </sheetViews>
  <sheetFormatPr defaultColWidth="8.88671875" defaultRowHeight="14.4"/>
  <cols>
    <col min="1" max="1" width="6.44140625" style="433" customWidth="1"/>
    <col min="2" max="2" width="49.33203125" style="433" customWidth="1"/>
    <col min="3" max="5" width="8.88671875" style="433"/>
    <col min="6" max="6" width="18.33203125" style="438" customWidth="1"/>
    <col min="7" max="7" width="17.6640625" style="433" customWidth="1"/>
    <col min="8" max="8" width="8.88671875" style="433"/>
    <col min="9" max="9" width="13.44140625" style="433" customWidth="1"/>
    <col min="10" max="10" width="23.88671875" style="425" customWidth="1"/>
    <col min="11" max="11" width="11.88671875" style="425" customWidth="1"/>
    <col min="12" max="25" width="8.88671875" style="425"/>
    <col min="26" max="16384" width="8.88671875" style="254"/>
  </cols>
  <sheetData>
    <row r="1" spans="1:10" ht="35.4" customHeight="1">
      <c r="F1" s="1192" t="s">
        <v>1148</v>
      </c>
      <c r="G1" s="1192"/>
      <c r="H1" s="1192"/>
      <c r="I1" s="1192"/>
    </row>
    <row r="2" spans="1:10" ht="21" customHeight="1">
      <c r="A2" s="1193" t="s">
        <v>1111</v>
      </c>
      <c r="B2" s="1193"/>
      <c r="C2" s="1193"/>
      <c r="D2" s="1193"/>
      <c r="E2" s="1193"/>
      <c r="F2" s="1193"/>
      <c r="G2" s="1193"/>
      <c r="H2" s="1193"/>
      <c r="I2" s="1193"/>
    </row>
    <row r="3" spans="1:10" ht="15" customHeight="1">
      <c r="A3" s="1038" t="s">
        <v>0</v>
      </c>
      <c r="B3" s="1039" t="s">
        <v>6</v>
      </c>
      <c r="C3" s="1039" t="s">
        <v>7</v>
      </c>
      <c r="D3" s="1040" t="s">
        <v>79</v>
      </c>
      <c r="E3" s="1039" t="s">
        <v>369</v>
      </c>
      <c r="F3" s="1039" t="s">
        <v>76</v>
      </c>
      <c r="G3" s="1041" t="s">
        <v>77</v>
      </c>
      <c r="H3" s="1041" t="s">
        <v>370</v>
      </c>
      <c r="I3" s="1041"/>
    </row>
    <row r="4" spans="1:10">
      <c r="A4" s="1038"/>
      <c r="B4" s="1039"/>
      <c r="C4" s="1039"/>
      <c r="D4" s="1040"/>
      <c r="E4" s="1039"/>
      <c r="F4" s="1039"/>
      <c r="G4" s="1041"/>
      <c r="H4" s="1041"/>
      <c r="I4" s="1041"/>
    </row>
    <row r="5" spans="1:10" ht="12.6" customHeight="1">
      <c r="A5" s="1038"/>
      <c r="B5" s="1039"/>
      <c r="C5" s="1039"/>
      <c r="D5" s="1040"/>
      <c r="E5" s="1039"/>
      <c r="F5" s="1039"/>
      <c r="G5" s="1041"/>
      <c r="H5" s="1041"/>
      <c r="I5" s="1041"/>
    </row>
    <row r="6" spans="1:10" ht="19.5" customHeight="1">
      <c r="A6" s="1024" t="s">
        <v>3</v>
      </c>
      <c r="B6" s="1030" t="s">
        <v>371</v>
      </c>
      <c r="C6" s="1026"/>
      <c r="D6" s="1026"/>
      <c r="E6" s="1183" t="s">
        <v>1156</v>
      </c>
      <c r="F6" s="266" t="s">
        <v>4</v>
      </c>
      <c r="G6" s="754">
        <f>SUM(G7:G8)</f>
        <v>67500</v>
      </c>
      <c r="H6" s="1183" t="s">
        <v>9</v>
      </c>
      <c r="I6" s="1183"/>
    </row>
    <row r="7" spans="1:10" ht="19.5" customHeight="1">
      <c r="A7" s="1024"/>
      <c r="B7" s="1030"/>
      <c r="C7" s="641" t="s">
        <v>131</v>
      </c>
      <c r="D7" s="269">
        <f>D10+D31</f>
        <v>0</v>
      </c>
      <c r="E7" s="1183"/>
      <c r="F7" s="266" t="s">
        <v>10</v>
      </c>
      <c r="G7" s="754">
        <v>60000</v>
      </c>
      <c r="H7" s="1183"/>
      <c r="I7" s="1183"/>
    </row>
    <row r="8" spans="1:10" ht="19.5" customHeight="1">
      <c r="A8" s="1024"/>
      <c r="B8" s="1030"/>
      <c r="C8" s="641" t="s">
        <v>215</v>
      </c>
      <c r="D8" s="269">
        <f>D11+D32</f>
        <v>26000</v>
      </c>
      <c r="E8" s="1183"/>
      <c r="F8" s="266" t="s">
        <v>978</v>
      </c>
      <c r="G8" s="754">
        <v>7500</v>
      </c>
      <c r="H8" s="1183"/>
      <c r="I8" s="1183"/>
    </row>
    <row r="9" spans="1:10" ht="15" customHeight="1">
      <c r="A9" s="1029" t="s">
        <v>82</v>
      </c>
      <c r="B9" s="1030" t="s">
        <v>83</v>
      </c>
      <c r="C9" s="1026"/>
      <c r="D9" s="1026"/>
      <c r="E9" s="1183" t="s">
        <v>1156</v>
      </c>
      <c r="F9" s="266" t="s">
        <v>4</v>
      </c>
      <c r="G9" s="755">
        <f>SUM(G10:G11)</f>
        <v>67500</v>
      </c>
      <c r="H9" s="1039" t="s">
        <v>84</v>
      </c>
      <c r="I9" s="1039"/>
    </row>
    <row r="10" spans="1:10" ht="15" customHeight="1">
      <c r="A10" s="1029"/>
      <c r="B10" s="1030"/>
      <c r="C10" s="641" t="s">
        <v>131</v>
      </c>
      <c r="D10" s="642">
        <f>D13+D16+D19+D22</f>
        <v>0</v>
      </c>
      <c r="E10" s="1183"/>
      <c r="F10" s="266" t="s">
        <v>10</v>
      </c>
      <c r="G10" s="755">
        <v>60000</v>
      </c>
      <c r="H10" s="1039"/>
      <c r="I10" s="1039"/>
    </row>
    <row r="11" spans="1:10" ht="15" customHeight="1">
      <c r="A11" s="1029"/>
      <c r="B11" s="1030"/>
      <c r="C11" s="641" t="s">
        <v>215</v>
      </c>
      <c r="D11" s="642">
        <v>26000</v>
      </c>
      <c r="E11" s="1183"/>
      <c r="F11" s="266" t="s">
        <v>978</v>
      </c>
      <c r="G11" s="755">
        <v>7500</v>
      </c>
      <c r="H11" s="1039"/>
      <c r="I11" s="1039"/>
    </row>
    <row r="12" spans="1:10" ht="16.2" hidden="1" customHeight="1">
      <c r="A12" s="1011" t="s">
        <v>35</v>
      </c>
      <c r="B12" s="1196"/>
      <c r="C12" s="1033"/>
      <c r="D12" s="1033"/>
      <c r="E12" s="1032"/>
      <c r="F12" s="434" t="s">
        <v>4</v>
      </c>
      <c r="G12" s="756">
        <f>SUM(G13:G14)</f>
        <v>0</v>
      </c>
      <c r="H12" s="840" t="s">
        <v>84</v>
      </c>
      <c r="I12" s="840"/>
      <c r="J12" s="435"/>
    </row>
    <row r="13" spans="1:10" ht="16.2" hidden="1" customHeight="1">
      <c r="A13" s="1011"/>
      <c r="B13" s="1196"/>
      <c r="C13" s="640" t="s">
        <v>131</v>
      </c>
      <c r="D13" s="436"/>
      <c r="E13" s="1032"/>
      <c r="F13" s="437" t="s">
        <v>10</v>
      </c>
      <c r="G13" s="757"/>
      <c r="H13" s="840"/>
      <c r="I13" s="840"/>
      <c r="J13" s="435"/>
    </row>
    <row r="14" spans="1:10" ht="15.6" hidden="1" customHeight="1">
      <c r="A14" s="1011"/>
      <c r="B14" s="1196"/>
      <c r="C14" s="640" t="s">
        <v>215</v>
      </c>
      <c r="D14" s="436"/>
      <c r="E14" s="1032"/>
      <c r="F14" s="437" t="s">
        <v>978</v>
      </c>
      <c r="G14" s="757"/>
      <c r="H14" s="840"/>
      <c r="I14" s="840"/>
      <c r="J14" s="435"/>
    </row>
    <row r="15" spans="1:10" ht="18" hidden="1" customHeight="1">
      <c r="A15" s="1011" t="s">
        <v>40</v>
      </c>
      <c r="B15" s="1196"/>
      <c r="C15" s="1033"/>
      <c r="D15" s="1033"/>
      <c r="E15" s="1032"/>
      <c r="F15" s="434" t="s">
        <v>4</v>
      </c>
      <c r="G15" s="756">
        <f>SUM(G16:G17)</f>
        <v>0</v>
      </c>
      <c r="H15" s="840" t="s">
        <v>84</v>
      </c>
      <c r="I15" s="840"/>
    </row>
    <row r="16" spans="1:10" ht="18" hidden="1" customHeight="1">
      <c r="A16" s="1011"/>
      <c r="B16" s="1196"/>
      <c r="C16" s="640" t="s">
        <v>131</v>
      </c>
      <c r="D16" s="436"/>
      <c r="E16" s="1032"/>
      <c r="F16" s="437" t="s">
        <v>10</v>
      </c>
      <c r="G16" s="757"/>
      <c r="H16" s="840"/>
      <c r="I16" s="840"/>
    </row>
    <row r="17" spans="1:9" ht="18" hidden="1" customHeight="1">
      <c r="A17" s="1011"/>
      <c r="B17" s="1196"/>
      <c r="C17" s="640" t="s">
        <v>215</v>
      </c>
      <c r="D17" s="436"/>
      <c r="E17" s="1032"/>
      <c r="F17" s="437" t="s">
        <v>978</v>
      </c>
      <c r="G17" s="757"/>
      <c r="H17" s="840"/>
      <c r="I17" s="840"/>
    </row>
    <row r="18" spans="1:9" ht="16.2" hidden="1" customHeight="1">
      <c r="A18" s="1086" t="s">
        <v>200</v>
      </c>
      <c r="B18" s="1068"/>
      <c r="C18" s="1188"/>
      <c r="D18" s="1189"/>
      <c r="E18" s="1032"/>
      <c r="F18" s="434" t="s">
        <v>4</v>
      </c>
      <c r="G18" s="756">
        <f>SUM(G19:G20)</f>
        <v>0</v>
      </c>
      <c r="H18" s="1045" t="s">
        <v>84</v>
      </c>
      <c r="I18" s="1046"/>
    </row>
    <row r="19" spans="1:9" ht="16.2" hidden="1" customHeight="1">
      <c r="A19" s="1072"/>
      <c r="B19" s="1069"/>
      <c r="C19" s="640" t="s">
        <v>131</v>
      </c>
      <c r="D19" s="436"/>
      <c r="E19" s="1032"/>
      <c r="F19" s="437" t="s">
        <v>10</v>
      </c>
      <c r="G19" s="757"/>
      <c r="H19" s="1047"/>
      <c r="I19" s="1048"/>
    </row>
    <row r="20" spans="1:9" ht="16.2" hidden="1" customHeight="1">
      <c r="A20" s="1072"/>
      <c r="B20" s="1069"/>
      <c r="C20" s="640" t="s">
        <v>215</v>
      </c>
      <c r="D20" s="436"/>
      <c r="E20" s="1032"/>
      <c r="F20" s="437" t="s">
        <v>978</v>
      </c>
      <c r="G20" s="757"/>
      <c r="H20" s="1047"/>
      <c r="I20" s="1048"/>
    </row>
    <row r="21" spans="1:9" ht="16.2" hidden="1" customHeight="1">
      <c r="A21" s="1086" t="s">
        <v>201</v>
      </c>
      <c r="B21" s="1068"/>
      <c r="C21" s="1188"/>
      <c r="D21" s="1189"/>
      <c r="E21" s="1032"/>
      <c r="F21" s="434" t="s">
        <v>4</v>
      </c>
      <c r="G21" s="756">
        <f>SUM(G22:G23)</f>
        <v>0</v>
      </c>
      <c r="H21" s="1045" t="s">
        <v>84</v>
      </c>
      <c r="I21" s="1046"/>
    </row>
    <row r="22" spans="1:9" ht="16.2" hidden="1" customHeight="1">
      <c r="A22" s="1072"/>
      <c r="B22" s="1069"/>
      <c r="C22" s="640" t="s">
        <v>131</v>
      </c>
      <c r="D22" s="436"/>
      <c r="E22" s="1032"/>
      <c r="F22" s="437" t="s">
        <v>10</v>
      </c>
      <c r="G22" s="757"/>
      <c r="H22" s="1047"/>
      <c r="I22" s="1048"/>
    </row>
    <row r="23" spans="1:9" ht="16.2" hidden="1" customHeight="1">
      <c r="A23" s="1072"/>
      <c r="B23" s="1069"/>
      <c r="C23" s="640" t="s">
        <v>215</v>
      </c>
      <c r="D23" s="436"/>
      <c r="E23" s="1032"/>
      <c r="F23" s="437" t="s">
        <v>978</v>
      </c>
      <c r="G23" s="757"/>
      <c r="H23" s="1047"/>
      <c r="I23" s="1048"/>
    </row>
    <row r="24" spans="1:9" ht="16.2" hidden="1" customHeight="1">
      <c r="A24" s="1086" t="s">
        <v>205</v>
      </c>
      <c r="B24" s="1068"/>
      <c r="C24" s="1188"/>
      <c r="D24" s="1189"/>
      <c r="E24" s="1032"/>
      <c r="F24" s="434" t="s">
        <v>4</v>
      </c>
      <c r="G24" s="756">
        <f>SUM(G25:G26)</f>
        <v>0</v>
      </c>
      <c r="H24" s="1045" t="s">
        <v>84</v>
      </c>
      <c r="I24" s="1046"/>
    </row>
    <row r="25" spans="1:9" ht="16.2" hidden="1" customHeight="1">
      <c r="A25" s="1072"/>
      <c r="B25" s="1069"/>
      <c r="C25" s="640" t="s">
        <v>131</v>
      </c>
      <c r="D25" s="436"/>
      <c r="E25" s="1032"/>
      <c r="F25" s="437" t="s">
        <v>10</v>
      </c>
      <c r="G25" s="757"/>
      <c r="H25" s="1047"/>
      <c r="I25" s="1048"/>
    </row>
    <row r="26" spans="1:9" ht="16.2" hidden="1" customHeight="1">
      <c r="A26" s="1072"/>
      <c r="B26" s="1069"/>
      <c r="C26" s="640" t="s">
        <v>215</v>
      </c>
      <c r="D26" s="436"/>
      <c r="E26" s="1032"/>
      <c r="F26" s="437" t="s">
        <v>978</v>
      </c>
      <c r="G26" s="757"/>
      <c r="H26" s="1047"/>
      <c r="I26" s="1048"/>
    </row>
    <row r="27" spans="1:9" ht="16.2" hidden="1" customHeight="1">
      <c r="A27" s="1086" t="s">
        <v>355</v>
      </c>
      <c r="B27" s="1068"/>
      <c r="C27" s="1188"/>
      <c r="D27" s="1189"/>
      <c r="E27" s="1032"/>
      <c r="F27" s="434" t="s">
        <v>4</v>
      </c>
      <c r="G27" s="756">
        <f>SUM(G28:G29)</f>
        <v>0</v>
      </c>
      <c r="H27" s="1045" t="s">
        <v>84</v>
      </c>
      <c r="I27" s="1046"/>
    </row>
    <row r="28" spans="1:9" ht="16.2" hidden="1" customHeight="1">
      <c r="A28" s="1072"/>
      <c r="B28" s="1069"/>
      <c r="C28" s="640" t="s">
        <v>131</v>
      </c>
      <c r="D28" s="436"/>
      <c r="E28" s="1032"/>
      <c r="F28" s="437" t="s">
        <v>10</v>
      </c>
      <c r="G28" s="757"/>
      <c r="H28" s="1047"/>
      <c r="I28" s="1048"/>
    </row>
    <row r="29" spans="1:9" ht="16.2" hidden="1" customHeight="1">
      <c r="A29" s="1072"/>
      <c r="B29" s="1069"/>
      <c r="C29" s="640" t="s">
        <v>215</v>
      </c>
      <c r="D29" s="436"/>
      <c r="E29" s="1032"/>
      <c r="F29" s="437" t="s">
        <v>978</v>
      </c>
      <c r="G29" s="757"/>
      <c r="H29" s="1047"/>
      <c r="I29" s="1048"/>
    </row>
    <row r="30" spans="1:9" ht="18" customHeight="1">
      <c r="A30" s="1029" t="s">
        <v>498</v>
      </c>
      <c r="B30" s="1030" t="s">
        <v>499</v>
      </c>
      <c r="C30" s="1026"/>
      <c r="D30" s="1026"/>
      <c r="E30" s="1183" t="s">
        <v>9</v>
      </c>
      <c r="F30" s="266" t="s">
        <v>4</v>
      </c>
      <c r="G30" s="758">
        <f>SUM(G31:G32)</f>
        <v>0</v>
      </c>
      <c r="H30" s="1039" t="s">
        <v>9</v>
      </c>
      <c r="I30" s="1039"/>
    </row>
    <row r="31" spans="1:9" ht="18" customHeight="1">
      <c r="A31" s="1029"/>
      <c r="B31" s="1030"/>
      <c r="C31" s="641" t="s">
        <v>131</v>
      </c>
      <c r="D31" s="642">
        <f>D34</f>
        <v>0</v>
      </c>
      <c r="E31" s="1183"/>
      <c r="F31" s="266" t="s">
        <v>10</v>
      </c>
      <c r="G31" s="755">
        <f>G34</f>
        <v>0</v>
      </c>
      <c r="H31" s="1039"/>
      <c r="I31" s="1039"/>
    </row>
    <row r="32" spans="1:9" ht="18" customHeight="1">
      <c r="A32" s="1029"/>
      <c r="B32" s="1030"/>
      <c r="C32" s="641" t="s">
        <v>215</v>
      </c>
      <c r="D32" s="642">
        <f>D35</f>
        <v>0</v>
      </c>
      <c r="E32" s="1183"/>
      <c r="F32" s="266" t="s">
        <v>978</v>
      </c>
      <c r="G32" s="755">
        <f>G35</f>
        <v>0</v>
      </c>
      <c r="H32" s="1039"/>
      <c r="I32" s="1039"/>
    </row>
    <row r="33" spans="1:10" ht="18" hidden="1" customHeight="1">
      <c r="A33" s="1011" t="s">
        <v>108</v>
      </c>
      <c r="B33" s="1012" t="s">
        <v>946</v>
      </c>
      <c r="C33" s="1013"/>
      <c r="D33" s="1013"/>
      <c r="E33" s="839" t="s">
        <v>770</v>
      </c>
      <c r="F33" s="266" t="s">
        <v>4</v>
      </c>
      <c r="G33" s="756">
        <f>SUM(G34:G35)</f>
        <v>0</v>
      </c>
      <c r="H33" s="840" t="s">
        <v>84</v>
      </c>
      <c r="I33" s="840"/>
    </row>
    <row r="34" spans="1:10" ht="18" hidden="1" customHeight="1">
      <c r="A34" s="1011"/>
      <c r="B34" s="1012"/>
      <c r="C34" s="639" t="s">
        <v>131</v>
      </c>
      <c r="D34" s="273"/>
      <c r="E34" s="839"/>
      <c r="F34" s="274" t="s">
        <v>10</v>
      </c>
      <c r="G34" s="757"/>
      <c r="H34" s="840"/>
      <c r="I34" s="840"/>
    </row>
    <row r="35" spans="1:10" ht="18" hidden="1" customHeight="1">
      <c r="A35" s="1011"/>
      <c r="B35" s="1012"/>
      <c r="C35" s="639" t="s">
        <v>215</v>
      </c>
      <c r="D35" s="273"/>
      <c r="E35" s="839"/>
      <c r="F35" s="437" t="s">
        <v>978</v>
      </c>
      <c r="G35" s="757"/>
      <c r="H35" s="840"/>
      <c r="I35" s="840"/>
    </row>
    <row r="36" spans="1:10" ht="15.75" customHeight="1">
      <c r="A36" s="1055">
        <v>2</v>
      </c>
      <c r="B36" s="1203" t="s">
        <v>670</v>
      </c>
      <c r="C36" s="1061" t="s">
        <v>9</v>
      </c>
      <c r="D36" s="1064" t="s">
        <v>9</v>
      </c>
      <c r="E36" s="1185" t="s">
        <v>9</v>
      </c>
      <c r="F36" s="266" t="s">
        <v>4</v>
      </c>
      <c r="G36" s="758">
        <f>SUM(G37:G38)</f>
        <v>5114.7</v>
      </c>
      <c r="H36" s="1039" t="s">
        <v>9</v>
      </c>
      <c r="I36" s="1039"/>
    </row>
    <row r="37" spans="1:10" ht="15.75" customHeight="1">
      <c r="A37" s="1056"/>
      <c r="B37" s="1203"/>
      <c r="C37" s="1062"/>
      <c r="D37" s="1065"/>
      <c r="E37" s="1186"/>
      <c r="F37" s="266" t="s">
        <v>10</v>
      </c>
      <c r="G37" s="270">
        <f>G40+G46+G76+G100</f>
        <v>0</v>
      </c>
      <c r="H37" s="1039"/>
      <c r="I37" s="1039"/>
    </row>
    <row r="38" spans="1:10" ht="15.75" customHeight="1">
      <c r="A38" s="1056"/>
      <c r="B38" s="1203"/>
      <c r="C38" s="1062"/>
      <c r="D38" s="1065"/>
      <c r="E38" s="1186"/>
      <c r="F38" s="266" t="s">
        <v>978</v>
      </c>
      <c r="G38" s="270">
        <f>G41+G47+G77+G101</f>
        <v>5114.7</v>
      </c>
      <c r="H38" s="1039"/>
      <c r="I38" s="1039"/>
    </row>
    <row r="39" spans="1:10" ht="16.2" customHeight="1">
      <c r="A39" s="1219" t="s">
        <v>366</v>
      </c>
      <c r="B39" s="1074" t="s">
        <v>672</v>
      </c>
      <c r="C39" s="1061" t="s">
        <v>9</v>
      </c>
      <c r="D39" s="1064" t="s">
        <v>9</v>
      </c>
      <c r="E39" s="1185" t="s">
        <v>9</v>
      </c>
      <c r="F39" s="266" t="s">
        <v>4</v>
      </c>
      <c r="G39" s="270">
        <f>G40+G41</f>
        <v>2525</v>
      </c>
      <c r="H39" s="840" t="s">
        <v>87</v>
      </c>
      <c r="I39" s="840"/>
    </row>
    <row r="40" spans="1:10" ht="16.2" customHeight="1">
      <c r="A40" s="1220"/>
      <c r="B40" s="1075"/>
      <c r="C40" s="1062"/>
      <c r="D40" s="1065"/>
      <c r="E40" s="1186"/>
      <c r="F40" s="266" t="s">
        <v>10</v>
      </c>
      <c r="G40" s="270">
        <f>G43</f>
        <v>0</v>
      </c>
      <c r="H40" s="840"/>
      <c r="I40" s="840"/>
    </row>
    <row r="41" spans="1:10" ht="16.2" customHeight="1">
      <c r="A41" s="1220"/>
      <c r="B41" s="1075"/>
      <c r="C41" s="1062"/>
      <c r="D41" s="1065"/>
      <c r="E41" s="1186"/>
      <c r="F41" s="266" t="s">
        <v>978</v>
      </c>
      <c r="G41" s="311">
        <v>2525</v>
      </c>
      <c r="H41" s="840"/>
      <c r="I41" s="840"/>
    </row>
    <row r="42" spans="1:10" ht="22.2" hidden="1" customHeight="1">
      <c r="A42" s="1011" t="s">
        <v>169</v>
      </c>
      <c r="B42" s="1098"/>
      <c r="C42" s="1026" t="s">
        <v>43</v>
      </c>
      <c r="D42" s="1026"/>
      <c r="E42" s="1183" t="s">
        <v>579</v>
      </c>
      <c r="F42" s="266" t="s">
        <v>4</v>
      </c>
      <c r="G42" s="270">
        <f>G43+G44</f>
        <v>0</v>
      </c>
      <c r="H42" s="840"/>
      <c r="I42" s="840"/>
    </row>
    <row r="43" spans="1:10" ht="22.2" hidden="1" customHeight="1">
      <c r="A43" s="1011"/>
      <c r="B43" s="1098"/>
      <c r="C43" s="1026"/>
      <c r="D43" s="1026"/>
      <c r="E43" s="1183"/>
      <c r="F43" s="266" t="s">
        <v>10</v>
      </c>
      <c r="G43" s="272"/>
      <c r="H43" s="840"/>
      <c r="I43" s="840"/>
    </row>
    <row r="44" spans="1:10" ht="22.2" hidden="1" customHeight="1">
      <c r="A44" s="1011"/>
      <c r="B44" s="1099"/>
      <c r="C44" s="1026"/>
      <c r="D44" s="1026"/>
      <c r="E44" s="1183"/>
      <c r="F44" s="266" t="s">
        <v>11</v>
      </c>
      <c r="G44" s="270"/>
      <c r="H44" s="840"/>
      <c r="I44" s="840"/>
    </row>
    <row r="45" spans="1:10" ht="24" customHeight="1">
      <c r="A45" s="1232" t="s">
        <v>544</v>
      </c>
      <c r="B45" s="1012" t="s">
        <v>952</v>
      </c>
      <c r="C45" s="1061" t="s">
        <v>73</v>
      </c>
      <c r="D45" s="1145">
        <v>2.7</v>
      </c>
      <c r="E45" s="1183" t="s">
        <v>9</v>
      </c>
      <c r="F45" s="266" t="s">
        <v>4</v>
      </c>
      <c r="G45" s="270">
        <f>SUM(G46:G47)</f>
        <v>2589.6999999999998</v>
      </c>
      <c r="H45" s="840" t="s">
        <v>84</v>
      </c>
      <c r="I45" s="840"/>
    </row>
    <row r="46" spans="1:10" ht="24" customHeight="1">
      <c r="A46" s="1232"/>
      <c r="B46" s="1012"/>
      <c r="C46" s="1062"/>
      <c r="D46" s="1146"/>
      <c r="E46" s="1183"/>
      <c r="F46" s="266" t="s">
        <v>10</v>
      </c>
      <c r="G46" s="270">
        <f>G49+G61</f>
        <v>0</v>
      </c>
      <c r="H46" s="840"/>
      <c r="I46" s="840"/>
    </row>
    <row r="47" spans="1:10" ht="24" customHeight="1">
      <c r="A47" s="1232"/>
      <c r="B47" s="1012"/>
      <c r="C47" s="1062"/>
      <c r="D47" s="1146"/>
      <c r="E47" s="1183"/>
      <c r="F47" s="266" t="s">
        <v>978</v>
      </c>
      <c r="G47" s="311">
        <v>2589.6999999999998</v>
      </c>
      <c r="H47" s="840"/>
      <c r="I47" s="840"/>
      <c r="J47" s="435"/>
    </row>
    <row r="48" spans="1:10" ht="15" hidden="1" customHeight="1">
      <c r="A48" s="1011" t="s">
        <v>958</v>
      </c>
      <c r="B48" s="1138"/>
      <c r="C48" s="839" t="s">
        <v>73</v>
      </c>
      <c r="D48" s="839"/>
      <c r="E48" s="839"/>
      <c r="F48" s="266" t="s">
        <v>4</v>
      </c>
      <c r="G48" s="393">
        <f>SUM(G49:G50)</f>
        <v>0</v>
      </c>
      <c r="H48" s="840" t="s">
        <v>84</v>
      </c>
      <c r="I48" s="840"/>
    </row>
    <row r="49" spans="1:9" ht="15" hidden="1" customHeight="1">
      <c r="A49" s="1011"/>
      <c r="B49" s="1184"/>
      <c r="C49" s="839"/>
      <c r="D49" s="839"/>
      <c r="E49" s="839"/>
      <c r="F49" s="274" t="s">
        <v>10</v>
      </c>
      <c r="G49" s="391">
        <v>0</v>
      </c>
      <c r="H49" s="840"/>
      <c r="I49" s="840"/>
    </row>
    <row r="50" spans="1:9" ht="15" hidden="1" customHeight="1">
      <c r="A50" s="1011"/>
      <c r="B50" s="1184"/>
      <c r="C50" s="839"/>
      <c r="D50" s="839"/>
      <c r="E50" s="839"/>
      <c r="F50" s="274" t="s">
        <v>978</v>
      </c>
      <c r="G50" s="391"/>
      <c r="H50" s="840"/>
      <c r="I50" s="840"/>
    </row>
    <row r="51" spans="1:9" ht="15" hidden="1" customHeight="1">
      <c r="A51" s="1011" t="s">
        <v>960</v>
      </c>
      <c r="B51" s="1138"/>
      <c r="C51" s="839" t="s">
        <v>73</v>
      </c>
      <c r="D51" s="839"/>
      <c r="E51" s="839"/>
      <c r="F51" s="266" t="s">
        <v>4</v>
      </c>
      <c r="G51" s="393">
        <f>SUM(G52:G53)</f>
        <v>0</v>
      </c>
      <c r="H51" s="840" t="s">
        <v>84</v>
      </c>
      <c r="I51" s="840"/>
    </row>
    <row r="52" spans="1:9" ht="15" hidden="1" customHeight="1">
      <c r="A52" s="1011"/>
      <c r="B52" s="1184"/>
      <c r="C52" s="839"/>
      <c r="D52" s="839"/>
      <c r="E52" s="839"/>
      <c r="F52" s="274" t="s">
        <v>10</v>
      </c>
      <c r="G52" s="391">
        <v>0</v>
      </c>
      <c r="H52" s="840"/>
      <c r="I52" s="840"/>
    </row>
    <row r="53" spans="1:9" ht="15" hidden="1" customHeight="1">
      <c r="A53" s="1011"/>
      <c r="B53" s="1184"/>
      <c r="C53" s="839"/>
      <c r="D53" s="839"/>
      <c r="E53" s="839"/>
      <c r="F53" s="274" t="s">
        <v>978</v>
      </c>
      <c r="G53" s="391"/>
      <c r="H53" s="840"/>
      <c r="I53" s="840"/>
    </row>
    <row r="54" spans="1:9" ht="15" hidden="1" customHeight="1">
      <c r="A54" s="1011" t="s">
        <v>993</v>
      </c>
      <c r="B54" s="1138"/>
      <c r="C54" s="839" t="s">
        <v>73</v>
      </c>
      <c r="D54" s="839"/>
      <c r="E54" s="839"/>
      <c r="F54" s="266" t="s">
        <v>4</v>
      </c>
      <c r="G54" s="393">
        <f t="shared" ref="G54" si="0">SUM(G55:G56)</f>
        <v>0</v>
      </c>
      <c r="H54" s="840" t="s">
        <v>84</v>
      </c>
      <c r="I54" s="840"/>
    </row>
    <row r="55" spans="1:9" ht="15" hidden="1" customHeight="1">
      <c r="A55" s="1011"/>
      <c r="B55" s="1184"/>
      <c r="C55" s="839"/>
      <c r="D55" s="839"/>
      <c r="E55" s="839"/>
      <c r="F55" s="274" t="s">
        <v>10</v>
      </c>
      <c r="G55" s="391">
        <v>0</v>
      </c>
      <c r="H55" s="840"/>
      <c r="I55" s="840"/>
    </row>
    <row r="56" spans="1:9" ht="15" hidden="1" customHeight="1">
      <c r="A56" s="1011"/>
      <c r="B56" s="1184"/>
      <c r="C56" s="839"/>
      <c r="D56" s="839"/>
      <c r="E56" s="839"/>
      <c r="F56" s="274" t="s">
        <v>978</v>
      </c>
      <c r="G56" s="391"/>
      <c r="H56" s="840"/>
      <c r="I56" s="840"/>
    </row>
    <row r="57" spans="1:9" ht="15" hidden="1" customHeight="1">
      <c r="A57" s="1011" t="s">
        <v>994</v>
      </c>
      <c r="B57" s="1138"/>
      <c r="C57" s="839" t="s">
        <v>73</v>
      </c>
      <c r="D57" s="839"/>
      <c r="E57" s="839"/>
      <c r="F57" s="266" t="s">
        <v>4</v>
      </c>
      <c r="G57" s="393">
        <f t="shared" ref="G57" si="1">SUM(G58:G59)</f>
        <v>0</v>
      </c>
      <c r="H57" s="840" t="s">
        <v>84</v>
      </c>
      <c r="I57" s="840"/>
    </row>
    <row r="58" spans="1:9" ht="15" hidden="1" customHeight="1">
      <c r="A58" s="1011"/>
      <c r="B58" s="1184"/>
      <c r="C58" s="839"/>
      <c r="D58" s="839"/>
      <c r="E58" s="839"/>
      <c r="F58" s="274" t="s">
        <v>10</v>
      </c>
      <c r="G58" s="391">
        <v>0</v>
      </c>
      <c r="H58" s="840"/>
      <c r="I58" s="840"/>
    </row>
    <row r="59" spans="1:9" ht="15" hidden="1" customHeight="1">
      <c r="A59" s="1011"/>
      <c r="B59" s="1184"/>
      <c r="C59" s="839"/>
      <c r="D59" s="839"/>
      <c r="E59" s="839"/>
      <c r="F59" s="274" t="s">
        <v>978</v>
      </c>
      <c r="G59" s="391"/>
      <c r="H59" s="840"/>
      <c r="I59" s="840"/>
    </row>
    <row r="60" spans="1:9" ht="13.95" hidden="1" customHeight="1">
      <c r="A60" s="1011" t="s">
        <v>995</v>
      </c>
      <c r="B60" s="1138"/>
      <c r="C60" s="1043"/>
      <c r="D60" s="839"/>
      <c r="E60" s="839"/>
      <c r="F60" s="266" t="s">
        <v>4</v>
      </c>
      <c r="G60" s="393">
        <f>SUM(G61:G62)</f>
        <v>0</v>
      </c>
      <c r="H60" s="840" t="s">
        <v>84</v>
      </c>
      <c r="I60" s="840"/>
    </row>
    <row r="61" spans="1:9" ht="13.95" hidden="1" customHeight="1">
      <c r="A61" s="1011"/>
      <c r="B61" s="1184"/>
      <c r="C61" s="1043"/>
      <c r="D61" s="839"/>
      <c r="E61" s="839"/>
      <c r="F61" s="274" t="s">
        <v>10</v>
      </c>
      <c r="G61" s="391">
        <v>0</v>
      </c>
      <c r="H61" s="840"/>
      <c r="I61" s="840"/>
    </row>
    <row r="62" spans="1:9" ht="13.95" hidden="1" customHeight="1">
      <c r="A62" s="1011"/>
      <c r="B62" s="1184"/>
      <c r="C62" s="1043"/>
      <c r="D62" s="839"/>
      <c r="E62" s="839"/>
      <c r="F62" s="274" t="s">
        <v>978</v>
      </c>
      <c r="G62" s="391"/>
      <c r="H62" s="840"/>
      <c r="I62" s="840"/>
    </row>
    <row r="63" spans="1:9" ht="15" hidden="1" customHeight="1">
      <c r="A63" s="1011"/>
      <c r="B63" s="1184"/>
      <c r="C63" s="1043"/>
      <c r="D63" s="839"/>
      <c r="E63" s="839"/>
      <c r="F63" s="266" t="s">
        <v>4</v>
      </c>
      <c r="G63" s="390"/>
      <c r="H63" s="840" t="s">
        <v>84</v>
      </c>
      <c r="I63" s="840"/>
    </row>
    <row r="64" spans="1:9" ht="15" hidden="1" customHeight="1">
      <c r="A64" s="1011"/>
      <c r="B64" s="1184"/>
      <c r="C64" s="1043"/>
      <c r="D64" s="839"/>
      <c r="E64" s="839"/>
      <c r="F64" s="274" t="s">
        <v>10</v>
      </c>
      <c r="G64" s="391"/>
      <c r="H64" s="840"/>
      <c r="I64" s="840"/>
    </row>
    <row r="65" spans="1:9" ht="15" hidden="1" customHeight="1">
      <c r="A65" s="1011"/>
      <c r="B65" s="1184"/>
      <c r="C65" s="1044"/>
      <c r="D65" s="839"/>
      <c r="E65" s="839"/>
      <c r="F65" s="274" t="s">
        <v>11</v>
      </c>
      <c r="G65" s="392"/>
      <c r="H65" s="840"/>
      <c r="I65" s="840"/>
    </row>
    <row r="66" spans="1:9" ht="15" hidden="1" customHeight="1">
      <c r="A66" s="1011"/>
      <c r="B66" s="1184"/>
      <c r="C66" s="1043"/>
      <c r="D66" s="839"/>
      <c r="E66" s="839"/>
      <c r="F66" s="266" t="s">
        <v>4</v>
      </c>
      <c r="G66" s="390"/>
      <c r="H66" s="840" t="s">
        <v>84</v>
      </c>
      <c r="I66" s="840"/>
    </row>
    <row r="67" spans="1:9" ht="15" hidden="1" customHeight="1">
      <c r="A67" s="1011"/>
      <c r="B67" s="1184"/>
      <c r="C67" s="1043"/>
      <c r="D67" s="839"/>
      <c r="E67" s="839"/>
      <c r="F67" s="274" t="s">
        <v>10</v>
      </c>
      <c r="G67" s="391"/>
      <c r="H67" s="840"/>
      <c r="I67" s="840"/>
    </row>
    <row r="68" spans="1:9" ht="15" hidden="1" customHeight="1">
      <c r="A68" s="1011"/>
      <c r="B68" s="1184"/>
      <c r="C68" s="1044"/>
      <c r="D68" s="839"/>
      <c r="E68" s="839"/>
      <c r="F68" s="274" t="s">
        <v>11</v>
      </c>
      <c r="G68" s="392"/>
      <c r="H68" s="840"/>
      <c r="I68" s="840"/>
    </row>
    <row r="69" spans="1:9" ht="15" hidden="1" customHeight="1">
      <c r="A69" s="1011"/>
      <c r="B69" s="1184"/>
      <c r="C69" s="1043"/>
      <c r="D69" s="839"/>
      <c r="E69" s="839"/>
      <c r="F69" s="266" t="s">
        <v>4</v>
      </c>
      <c r="G69" s="390"/>
      <c r="H69" s="840" t="s">
        <v>84</v>
      </c>
      <c r="I69" s="840"/>
    </row>
    <row r="70" spans="1:9" ht="15" hidden="1" customHeight="1">
      <c r="A70" s="1011"/>
      <c r="B70" s="1184"/>
      <c r="C70" s="1043"/>
      <c r="D70" s="839"/>
      <c r="E70" s="839"/>
      <c r="F70" s="274" t="s">
        <v>10</v>
      </c>
      <c r="G70" s="391"/>
      <c r="H70" s="840"/>
      <c r="I70" s="840"/>
    </row>
    <row r="71" spans="1:9" ht="15" hidden="1" customHeight="1">
      <c r="A71" s="1011"/>
      <c r="B71" s="1184"/>
      <c r="C71" s="1044"/>
      <c r="D71" s="839"/>
      <c r="E71" s="839"/>
      <c r="F71" s="274" t="s">
        <v>11</v>
      </c>
      <c r="G71" s="392"/>
      <c r="H71" s="840"/>
      <c r="I71" s="840"/>
    </row>
    <row r="72" spans="1:9" ht="15" hidden="1" customHeight="1">
      <c r="A72" s="1011"/>
      <c r="B72" s="1184"/>
      <c r="C72" s="1043"/>
      <c r="D72" s="839"/>
      <c r="E72" s="839"/>
      <c r="F72" s="266" t="s">
        <v>4</v>
      </c>
      <c r="G72" s="390"/>
      <c r="H72" s="840" t="s">
        <v>84</v>
      </c>
      <c r="I72" s="840"/>
    </row>
    <row r="73" spans="1:9" ht="15" hidden="1" customHeight="1">
      <c r="A73" s="1011"/>
      <c r="B73" s="1184"/>
      <c r="C73" s="1043"/>
      <c r="D73" s="839"/>
      <c r="E73" s="839"/>
      <c r="F73" s="274" t="s">
        <v>10</v>
      </c>
      <c r="G73" s="391"/>
      <c r="H73" s="840"/>
      <c r="I73" s="840"/>
    </row>
    <row r="74" spans="1:9" ht="15" hidden="1" customHeight="1">
      <c r="A74" s="1011"/>
      <c r="B74" s="1184"/>
      <c r="C74" s="1044"/>
      <c r="D74" s="1042"/>
      <c r="E74" s="839"/>
      <c r="F74" s="274" t="s">
        <v>11</v>
      </c>
      <c r="G74" s="392"/>
      <c r="H74" s="840"/>
      <c r="I74" s="840"/>
    </row>
    <row r="75" spans="1:9" ht="21" customHeight="1">
      <c r="A75" s="1232" t="s">
        <v>549</v>
      </c>
      <c r="B75" s="1012" t="s">
        <v>1013</v>
      </c>
      <c r="C75" s="1026" t="s">
        <v>9</v>
      </c>
      <c r="D75" s="1071" t="s">
        <v>9</v>
      </c>
      <c r="E75" s="839" t="s">
        <v>9</v>
      </c>
      <c r="F75" s="266" t="s">
        <v>4</v>
      </c>
      <c r="G75" s="270">
        <f>SUM(G76:G77)</f>
        <v>0</v>
      </c>
      <c r="H75" s="839" t="s">
        <v>9</v>
      </c>
      <c r="I75" s="839"/>
    </row>
    <row r="76" spans="1:9" ht="21" customHeight="1">
      <c r="A76" s="1232"/>
      <c r="B76" s="1012"/>
      <c r="C76" s="1026"/>
      <c r="D76" s="1071"/>
      <c r="E76" s="839"/>
      <c r="F76" s="266" t="s">
        <v>10</v>
      </c>
      <c r="G76" s="270">
        <f>G91+G94+G97</f>
        <v>0</v>
      </c>
      <c r="H76" s="839"/>
      <c r="I76" s="839"/>
    </row>
    <row r="77" spans="1:9" ht="21" customHeight="1">
      <c r="A77" s="1232"/>
      <c r="B77" s="1012"/>
      <c r="C77" s="1026"/>
      <c r="D77" s="1071"/>
      <c r="E77" s="839"/>
      <c r="F77" s="266" t="s">
        <v>978</v>
      </c>
      <c r="G77" s="270">
        <f>G92</f>
        <v>0</v>
      </c>
      <c r="H77" s="839"/>
      <c r="I77" s="839"/>
    </row>
    <row r="78" spans="1:9" ht="16.2" hidden="1" customHeight="1">
      <c r="A78" s="1011"/>
      <c r="B78" s="1099"/>
      <c r="C78" s="1013" t="s">
        <v>66</v>
      </c>
      <c r="D78" s="1053">
        <v>1</v>
      </c>
      <c r="E78" s="839"/>
      <c r="F78" s="266" t="s">
        <v>4</v>
      </c>
      <c r="G78" s="393"/>
      <c r="H78" s="1045" t="s">
        <v>85</v>
      </c>
      <c r="I78" s="1046"/>
    </row>
    <row r="79" spans="1:9" ht="16.2" hidden="1" customHeight="1">
      <c r="A79" s="1011"/>
      <c r="B79" s="1012"/>
      <c r="C79" s="1013"/>
      <c r="D79" s="1053"/>
      <c r="E79" s="839"/>
      <c r="F79" s="274" t="s">
        <v>10</v>
      </c>
      <c r="G79" s="391"/>
      <c r="H79" s="1047"/>
      <c r="I79" s="1048"/>
    </row>
    <row r="80" spans="1:9" ht="16.2" hidden="1" customHeight="1">
      <c r="A80" s="1011"/>
      <c r="B80" s="1012"/>
      <c r="C80" s="1013"/>
      <c r="D80" s="1053"/>
      <c r="E80" s="839"/>
      <c r="F80" s="274" t="s">
        <v>11</v>
      </c>
      <c r="G80" s="392"/>
      <c r="H80" s="1049"/>
      <c r="I80" s="1050"/>
    </row>
    <row r="81" spans="1:9" ht="16.2" hidden="1" customHeight="1">
      <c r="A81" s="1011"/>
      <c r="B81" s="1012"/>
      <c r="C81" s="1013" t="s">
        <v>43</v>
      </c>
      <c r="D81" s="1013">
        <v>5</v>
      </c>
      <c r="E81" s="839"/>
      <c r="F81" s="266" t="s">
        <v>4</v>
      </c>
      <c r="G81" s="390"/>
      <c r="H81" s="1045" t="s">
        <v>85</v>
      </c>
      <c r="I81" s="1046"/>
    </row>
    <row r="82" spans="1:9" ht="16.2" hidden="1" customHeight="1">
      <c r="A82" s="1011"/>
      <c r="B82" s="1012"/>
      <c r="C82" s="1013"/>
      <c r="D82" s="1013"/>
      <c r="E82" s="839"/>
      <c r="F82" s="274" t="s">
        <v>10</v>
      </c>
      <c r="G82" s="391"/>
      <c r="H82" s="1047"/>
      <c r="I82" s="1048"/>
    </row>
    <row r="83" spans="1:9" ht="16.2" hidden="1" customHeight="1">
      <c r="A83" s="1011"/>
      <c r="B83" s="1012"/>
      <c r="C83" s="1013"/>
      <c r="D83" s="1013"/>
      <c r="E83" s="839"/>
      <c r="F83" s="274" t="s">
        <v>11</v>
      </c>
      <c r="G83" s="392"/>
      <c r="H83" s="1049"/>
      <c r="I83" s="1050"/>
    </row>
    <row r="84" spans="1:9" ht="16.2" hidden="1" customHeight="1">
      <c r="A84" s="1011"/>
      <c r="B84" s="1012"/>
      <c r="C84" s="840" t="s">
        <v>43</v>
      </c>
      <c r="D84" s="840">
        <v>1</v>
      </c>
      <c r="E84" s="839"/>
      <c r="F84" s="266" t="s">
        <v>4</v>
      </c>
      <c r="G84" s="390"/>
      <c r="H84" s="1045" t="s">
        <v>85</v>
      </c>
      <c r="I84" s="1046"/>
    </row>
    <row r="85" spans="1:9" ht="16.2" hidden="1" customHeight="1">
      <c r="A85" s="1011"/>
      <c r="B85" s="1012"/>
      <c r="C85" s="840"/>
      <c r="D85" s="840"/>
      <c r="E85" s="839"/>
      <c r="F85" s="274" t="s">
        <v>10</v>
      </c>
      <c r="G85" s="391"/>
      <c r="H85" s="1047"/>
      <c r="I85" s="1048"/>
    </row>
    <row r="86" spans="1:9" ht="16.2" hidden="1" customHeight="1">
      <c r="A86" s="1011"/>
      <c r="B86" s="1012"/>
      <c r="C86" s="840"/>
      <c r="D86" s="840"/>
      <c r="E86" s="839"/>
      <c r="F86" s="274" t="s">
        <v>11</v>
      </c>
      <c r="G86" s="392"/>
      <c r="H86" s="1049"/>
      <c r="I86" s="1050"/>
    </row>
    <row r="87" spans="1:9" ht="16.2" hidden="1" customHeight="1">
      <c r="A87" s="1011"/>
      <c r="B87" s="1097"/>
      <c r="C87" s="840" t="s">
        <v>43</v>
      </c>
      <c r="D87" s="840">
        <v>3</v>
      </c>
      <c r="E87" s="839"/>
      <c r="F87" s="266" t="s">
        <v>4</v>
      </c>
      <c r="G87" s="390">
        <f>G88+G89</f>
        <v>0</v>
      </c>
      <c r="H87" s="840" t="s">
        <v>84</v>
      </c>
      <c r="I87" s="840"/>
    </row>
    <row r="88" spans="1:9" ht="16.2" hidden="1" customHeight="1">
      <c r="A88" s="1011"/>
      <c r="B88" s="1098"/>
      <c r="C88" s="840"/>
      <c r="D88" s="840"/>
      <c r="E88" s="839"/>
      <c r="F88" s="274" t="s">
        <v>10</v>
      </c>
      <c r="G88" s="391">
        <v>0</v>
      </c>
      <c r="H88" s="840"/>
      <c r="I88" s="840"/>
    </row>
    <row r="89" spans="1:9" ht="16.2" hidden="1" customHeight="1">
      <c r="A89" s="1011"/>
      <c r="B89" s="1099"/>
      <c r="C89" s="840"/>
      <c r="D89" s="840"/>
      <c r="E89" s="839"/>
      <c r="F89" s="274" t="s">
        <v>11</v>
      </c>
      <c r="G89" s="392">
        <v>0</v>
      </c>
      <c r="H89" s="840"/>
      <c r="I89" s="840"/>
    </row>
    <row r="90" spans="1:9" ht="16.95" customHeight="1">
      <c r="A90" s="1011" t="s">
        <v>954</v>
      </c>
      <c r="B90" s="1012" t="s">
        <v>565</v>
      </c>
      <c r="C90" s="840" t="s">
        <v>43</v>
      </c>
      <c r="D90" s="840">
        <v>1</v>
      </c>
      <c r="E90" s="839" t="s">
        <v>1156</v>
      </c>
      <c r="F90" s="266" t="s">
        <v>4</v>
      </c>
      <c r="G90" s="393">
        <f>SUM(G91:G92)</f>
        <v>0</v>
      </c>
      <c r="H90" s="840" t="s">
        <v>84</v>
      </c>
      <c r="I90" s="840"/>
    </row>
    <row r="91" spans="1:9" ht="16.95" customHeight="1">
      <c r="A91" s="1011"/>
      <c r="B91" s="1012"/>
      <c r="C91" s="840"/>
      <c r="D91" s="840"/>
      <c r="E91" s="839"/>
      <c r="F91" s="274" t="s">
        <v>10</v>
      </c>
      <c r="G91" s="391">
        <v>0</v>
      </c>
      <c r="H91" s="840"/>
      <c r="I91" s="840"/>
    </row>
    <row r="92" spans="1:9" ht="16.95" customHeight="1">
      <c r="A92" s="1011"/>
      <c r="B92" s="1097"/>
      <c r="C92" s="840"/>
      <c r="D92" s="840"/>
      <c r="E92" s="839"/>
      <c r="F92" s="274" t="s">
        <v>978</v>
      </c>
      <c r="G92" s="391">
        <v>0</v>
      </c>
      <c r="H92" s="840"/>
      <c r="I92" s="840"/>
    </row>
    <row r="93" spans="1:9" ht="12.75" hidden="1" customHeight="1">
      <c r="A93" s="1086" t="s">
        <v>955</v>
      </c>
      <c r="B93" s="1097"/>
      <c r="C93" s="958"/>
      <c r="D93" s="958"/>
      <c r="E93" s="1042"/>
      <c r="F93" s="266" t="s">
        <v>4</v>
      </c>
      <c r="G93" s="393">
        <f>SUM(G94:G95)</f>
        <v>0</v>
      </c>
      <c r="H93" s="1045"/>
      <c r="I93" s="1046"/>
    </row>
    <row r="94" spans="1:9" ht="12.75" hidden="1" customHeight="1">
      <c r="A94" s="1072"/>
      <c r="B94" s="1098"/>
      <c r="C94" s="1096"/>
      <c r="D94" s="1096"/>
      <c r="E94" s="1043"/>
      <c r="F94" s="274" t="s">
        <v>10</v>
      </c>
      <c r="G94" s="391"/>
      <c r="H94" s="1047"/>
      <c r="I94" s="1048"/>
    </row>
    <row r="95" spans="1:9" ht="12.75" hidden="1" customHeight="1">
      <c r="A95" s="1073"/>
      <c r="B95" s="1099"/>
      <c r="C95" s="959"/>
      <c r="D95" s="959"/>
      <c r="E95" s="1044"/>
      <c r="F95" s="274" t="s">
        <v>978</v>
      </c>
      <c r="G95" s="391"/>
      <c r="H95" s="1049"/>
      <c r="I95" s="1050"/>
    </row>
    <row r="96" spans="1:9" ht="13.2" hidden="1" customHeight="1">
      <c r="A96" s="1011" t="s">
        <v>956</v>
      </c>
      <c r="B96" s="1012"/>
      <c r="C96" s="1013"/>
      <c r="D96" s="1013"/>
      <c r="E96" s="839"/>
      <c r="F96" s="266" t="s">
        <v>4</v>
      </c>
      <c r="G96" s="393">
        <f>SUM(G97:G98)</f>
        <v>0</v>
      </c>
      <c r="H96" s="840"/>
      <c r="I96" s="840"/>
    </row>
    <row r="97" spans="1:11" ht="13.2" hidden="1" customHeight="1">
      <c r="A97" s="1011"/>
      <c r="B97" s="1012"/>
      <c r="C97" s="1013"/>
      <c r="D97" s="1013"/>
      <c r="E97" s="839"/>
      <c r="F97" s="274" t="s">
        <v>10</v>
      </c>
      <c r="G97" s="391"/>
      <c r="H97" s="840"/>
      <c r="I97" s="840"/>
    </row>
    <row r="98" spans="1:11" ht="13.2" hidden="1" customHeight="1">
      <c r="A98" s="1011"/>
      <c r="B98" s="1012"/>
      <c r="C98" s="1013"/>
      <c r="D98" s="1013"/>
      <c r="E98" s="839"/>
      <c r="F98" s="274" t="s">
        <v>978</v>
      </c>
      <c r="G98" s="391"/>
      <c r="H98" s="840"/>
      <c r="I98" s="840"/>
    </row>
    <row r="99" spans="1:11" ht="18" hidden="1" customHeight="1">
      <c r="A99" s="1011" t="s">
        <v>983</v>
      </c>
      <c r="B99" s="1012" t="s">
        <v>957</v>
      </c>
      <c r="C99" s="1026" t="s">
        <v>9</v>
      </c>
      <c r="D99" s="1026" t="s">
        <v>9</v>
      </c>
      <c r="E99" s="1183" t="s">
        <v>9</v>
      </c>
      <c r="F99" s="266" t="s">
        <v>4</v>
      </c>
      <c r="G99" s="270">
        <f>SUM(G100:G101)</f>
        <v>0</v>
      </c>
      <c r="H99" s="1039"/>
      <c r="I99" s="1039"/>
    </row>
    <row r="100" spans="1:11" ht="18" hidden="1" customHeight="1">
      <c r="A100" s="1011"/>
      <c r="B100" s="1012"/>
      <c r="C100" s="1026"/>
      <c r="D100" s="1026"/>
      <c r="E100" s="1183"/>
      <c r="F100" s="266" t="s">
        <v>10</v>
      </c>
      <c r="G100" s="272">
        <f>G103</f>
        <v>0</v>
      </c>
      <c r="H100" s="1039"/>
      <c r="I100" s="1039"/>
    </row>
    <row r="101" spans="1:11" ht="18" hidden="1" customHeight="1">
      <c r="A101" s="1011"/>
      <c r="B101" s="1012"/>
      <c r="C101" s="1026"/>
      <c r="D101" s="1026"/>
      <c r="E101" s="1183"/>
      <c r="F101" s="266" t="s">
        <v>978</v>
      </c>
      <c r="G101" s="272">
        <f>G104</f>
        <v>0</v>
      </c>
      <c r="H101" s="1039"/>
      <c r="I101" s="1039"/>
    </row>
    <row r="102" spans="1:11" ht="13.2" hidden="1" customHeight="1">
      <c r="A102" s="1011" t="s">
        <v>984</v>
      </c>
      <c r="B102" s="1099" t="s">
        <v>687</v>
      </c>
      <c r="C102" s="840" t="s">
        <v>43</v>
      </c>
      <c r="D102" s="840"/>
      <c r="E102" s="839" t="s">
        <v>1156</v>
      </c>
      <c r="F102" s="266" t="s">
        <v>4</v>
      </c>
      <c r="G102" s="393">
        <f>SUM(G103:G104)</f>
        <v>0</v>
      </c>
      <c r="H102" s="840" t="s">
        <v>87</v>
      </c>
      <c r="I102" s="840"/>
    </row>
    <row r="103" spans="1:11" ht="13.2" hidden="1" customHeight="1">
      <c r="A103" s="1011"/>
      <c r="B103" s="1012"/>
      <c r="C103" s="840"/>
      <c r="D103" s="840"/>
      <c r="E103" s="839"/>
      <c r="F103" s="274" t="s">
        <v>10</v>
      </c>
      <c r="G103" s="391">
        <v>0</v>
      </c>
      <c r="H103" s="840"/>
      <c r="I103" s="840"/>
    </row>
    <row r="104" spans="1:11" ht="13.2" hidden="1" customHeight="1">
      <c r="A104" s="1011"/>
      <c r="B104" s="1012"/>
      <c r="C104" s="840"/>
      <c r="D104" s="840"/>
      <c r="E104" s="839"/>
      <c r="F104" s="274" t="s">
        <v>978</v>
      </c>
      <c r="G104" s="391"/>
      <c r="H104" s="840"/>
      <c r="I104" s="840"/>
    </row>
    <row r="105" spans="1:11" ht="13.5" hidden="1" customHeight="1">
      <c r="A105" s="1011" t="s">
        <v>986</v>
      </c>
      <c r="B105" s="1012" t="s">
        <v>687</v>
      </c>
      <c r="C105" s="1013" t="s">
        <v>9</v>
      </c>
      <c r="D105" s="1013" t="s">
        <v>9</v>
      </c>
      <c r="E105" s="839" t="s">
        <v>9</v>
      </c>
      <c r="F105" s="266" t="s">
        <v>4</v>
      </c>
      <c r="G105" s="270">
        <f>G106+G107</f>
        <v>0</v>
      </c>
      <c r="H105" s="840" t="s">
        <v>87</v>
      </c>
      <c r="I105" s="840"/>
    </row>
    <row r="106" spans="1:11" ht="13.5" hidden="1" customHeight="1">
      <c r="A106" s="1011"/>
      <c r="B106" s="1012"/>
      <c r="C106" s="1013"/>
      <c r="D106" s="1013"/>
      <c r="E106" s="839"/>
      <c r="F106" s="274" t="s">
        <v>10</v>
      </c>
      <c r="G106" s="275">
        <v>0</v>
      </c>
      <c r="H106" s="840"/>
      <c r="I106" s="840"/>
    </row>
    <row r="107" spans="1:11" ht="13.5" hidden="1" customHeight="1">
      <c r="A107" s="1011"/>
      <c r="B107" s="1012"/>
      <c r="C107" s="1013"/>
      <c r="D107" s="1013"/>
      <c r="E107" s="839"/>
      <c r="F107" s="274" t="s">
        <v>11</v>
      </c>
      <c r="G107" s="275"/>
      <c r="H107" s="840"/>
      <c r="I107" s="840"/>
    </row>
    <row r="108" spans="1:11" ht="13.95" customHeight="1">
      <c r="A108" s="1024"/>
      <c r="B108" s="1030" t="s">
        <v>378</v>
      </c>
      <c r="C108" s="1026" t="s">
        <v>9</v>
      </c>
      <c r="D108" s="1182" t="s">
        <v>9</v>
      </c>
      <c r="E108" s="1026" t="s">
        <v>9</v>
      </c>
      <c r="F108" s="266" t="s">
        <v>4</v>
      </c>
      <c r="G108" s="270">
        <f>G6+G36</f>
        <v>72614.7</v>
      </c>
      <c r="H108" s="1183" t="s">
        <v>9</v>
      </c>
      <c r="I108" s="1183"/>
      <c r="K108" s="435"/>
    </row>
    <row r="109" spans="1:11" ht="13.95" customHeight="1">
      <c r="A109" s="1024"/>
      <c r="B109" s="1030"/>
      <c r="C109" s="1026"/>
      <c r="D109" s="1182"/>
      <c r="E109" s="1026"/>
      <c r="F109" s="266" t="s">
        <v>10</v>
      </c>
      <c r="G109" s="270">
        <f>G7+G37</f>
        <v>60000</v>
      </c>
      <c r="H109" s="1183"/>
      <c r="I109" s="1183"/>
    </row>
    <row r="110" spans="1:11" ht="13.95" customHeight="1">
      <c r="A110" s="1024"/>
      <c r="B110" s="1030"/>
      <c r="C110" s="1026"/>
      <c r="D110" s="1182"/>
      <c r="E110" s="1026"/>
      <c r="F110" s="266" t="s">
        <v>978</v>
      </c>
      <c r="G110" s="270">
        <f>G8+G38</f>
        <v>12614.7</v>
      </c>
      <c r="H110" s="1183"/>
      <c r="I110" s="1183"/>
    </row>
    <row r="111" spans="1:11">
      <c r="G111" s="550">
        <f>G41+G93+G102+G105</f>
        <v>2525</v>
      </c>
      <c r="H111" s="551" t="s">
        <v>685</v>
      </c>
      <c r="I111" s="551"/>
    </row>
    <row r="112" spans="1:11">
      <c r="G112" s="550">
        <f>G8+G47+G92</f>
        <v>10089.700000000001</v>
      </c>
      <c r="H112" s="551" t="s">
        <v>961</v>
      </c>
      <c r="I112" s="550">
        <f>G112-G8</f>
        <v>2589.7000000000007</v>
      </c>
    </row>
    <row r="113" spans="7:9">
      <c r="G113" s="550">
        <f>G98</f>
        <v>0</v>
      </c>
      <c r="H113" s="551" t="s">
        <v>962</v>
      </c>
      <c r="I113" s="551"/>
    </row>
    <row r="114" spans="7:9">
      <c r="G114" s="551"/>
      <c r="H114" s="551"/>
      <c r="I114" s="551"/>
    </row>
    <row r="116" spans="7:9">
      <c r="G116" s="439"/>
    </row>
  </sheetData>
  <mergeCells count="210">
    <mergeCell ref="A108:A110"/>
    <mergeCell ref="B108:B110"/>
    <mergeCell ref="C108:C110"/>
    <mergeCell ref="D108:D110"/>
    <mergeCell ref="E108:E110"/>
    <mergeCell ref="H108:I110"/>
    <mergeCell ref="A105:A107"/>
    <mergeCell ref="B105:B107"/>
    <mergeCell ref="C105:C107"/>
    <mergeCell ref="D105:D107"/>
    <mergeCell ref="E105:E107"/>
    <mergeCell ref="H105:I107"/>
    <mergeCell ref="A102:A104"/>
    <mergeCell ref="B102:B104"/>
    <mergeCell ref="C102:C104"/>
    <mergeCell ref="D102:D104"/>
    <mergeCell ref="E102:E104"/>
    <mergeCell ref="H102:I104"/>
    <mergeCell ref="A99:A101"/>
    <mergeCell ref="B99:B101"/>
    <mergeCell ref="C99:C101"/>
    <mergeCell ref="D99:D101"/>
    <mergeCell ref="E99:E101"/>
    <mergeCell ref="H99:I101"/>
    <mergeCell ref="A96:A98"/>
    <mergeCell ref="B96:B98"/>
    <mergeCell ref="C96:C98"/>
    <mergeCell ref="D96:D98"/>
    <mergeCell ref="E96:E98"/>
    <mergeCell ref="H96:I98"/>
    <mergeCell ref="A93:A95"/>
    <mergeCell ref="B93:B95"/>
    <mergeCell ref="C93:C95"/>
    <mergeCell ref="D93:D95"/>
    <mergeCell ref="E93:E95"/>
    <mergeCell ref="H93:I95"/>
    <mergeCell ref="A90:A92"/>
    <mergeCell ref="B90:B92"/>
    <mergeCell ref="C90:C92"/>
    <mergeCell ref="D90:D92"/>
    <mergeCell ref="E90:E92"/>
    <mergeCell ref="H90:I92"/>
    <mergeCell ref="A87:A89"/>
    <mergeCell ref="B87:B89"/>
    <mergeCell ref="C87:C89"/>
    <mergeCell ref="D87:D89"/>
    <mergeCell ref="E87:E89"/>
    <mergeCell ref="H87:I89"/>
    <mergeCell ref="A84:A86"/>
    <mergeCell ref="B84:B86"/>
    <mergeCell ref="C84:C86"/>
    <mergeCell ref="D84:D86"/>
    <mergeCell ref="E84:E86"/>
    <mergeCell ref="H84:I86"/>
    <mergeCell ref="A81:A83"/>
    <mergeCell ref="B81:B83"/>
    <mergeCell ref="C81:C83"/>
    <mergeCell ref="D81:D83"/>
    <mergeCell ref="E81:E83"/>
    <mergeCell ref="H81:I83"/>
    <mergeCell ref="A78:A80"/>
    <mergeCell ref="B78:B80"/>
    <mergeCell ref="C78:C80"/>
    <mergeCell ref="D78:D80"/>
    <mergeCell ref="E78:E80"/>
    <mergeCell ref="H78:I80"/>
    <mergeCell ref="A75:A77"/>
    <mergeCell ref="B75:B77"/>
    <mergeCell ref="C75:C77"/>
    <mergeCell ref="D75:D77"/>
    <mergeCell ref="E75:E77"/>
    <mergeCell ref="H75:I77"/>
    <mergeCell ref="A72:A74"/>
    <mergeCell ref="B72:B74"/>
    <mergeCell ref="C72:C74"/>
    <mergeCell ref="D72:D74"/>
    <mergeCell ref="E72:E74"/>
    <mergeCell ref="H72:I74"/>
    <mergeCell ref="A69:A71"/>
    <mergeCell ref="B69:B71"/>
    <mergeCell ref="C69:C71"/>
    <mergeCell ref="D69:D71"/>
    <mergeCell ref="E69:E71"/>
    <mergeCell ref="H69:I71"/>
    <mergeCell ref="A66:A68"/>
    <mergeCell ref="B66:B68"/>
    <mergeCell ref="C66:C68"/>
    <mergeCell ref="D66:D68"/>
    <mergeCell ref="E66:E68"/>
    <mergeCell ref="H66:I68"/>
    <mergeCell ref="A63:A65"/>
    <mergeCell ref="B63:B65"/>
    <mergeCell ref="C63:C65"/>
    <mergeCell ref="D63:D65"/>
    <mergeCell ref="E63:E65"/>
    <mergeCell ref="H63:I65"/>
    <mergeCell ref="A60:A62"/>
    <mergeCell ref="B60:B62"/>
    <mergeCell ref="C60:C62"/>
    <mergeCell ref="D60:D62"/>
    <mergeCell ref="E60:E62"/>
    <mergeCell ref="H60:I62"/>
    <mergeCell ref="A57:A59"/>
    <mergeCell ref="B57:B59"/>
    <mergeCell ref="C57:C59"/>
    <mergeCell ref="D57:D59"/>
    <mergeCell ref="E57:E59"/>
    <mergeCell ref="H57:I59"/>
    <mergeCell ref="A54:A56"/>
    <mergeCell ref="B54:B56"/>
    <mergeCell ref="C54:C56"/>
    <mergeCell ref="D54:D56"/>
    <mergeCell ref="E54:E56"/>
    <mergeCell ref="H54:I56"/>
    <mergeCell ref="A51:A53"/>
    <mergeCell ref="B51:B53"/>
    <mergeCell ref="C51:C53"/>
    <mergeCell ref="D51:D53"/>
    <mergeCell ref="E51:E53"/>
    <mergeCell ref="H51:I53"/>
    <mergeCell ref="A48:A50"/>
    <mergeCell ref="B48:B50"/>
    <mergeCell ref="C48:C50"/>
    <mergeCell ref="D48:D50"/>
    <mergeCell ref="E48:E50"/>
    <mergeCell ref="H48:I50"/>
    <mergeCell ref="A45:A47"/>
    <mergeCell ref="B45:B47"/>
    <mergeCell ref="C45:C47"/>
    <mergeCell ref="D45:D47"/>
    <mergeCell ref="E45:E47"/>
    <mergeCell ref="H45:I47"/>
    <mergeCell ref="A42:A44"/>
    <mergeCell ref="B42:B44"/>
    <mergeCell ref="C42:C44"/>
    <mergeCell ref="D42:D44"/>
    <mergeCell ref="E42:E44"/>
    <mergeCell ref="H42:I44"/>
    <mergeCell ref="A39:A41"/>
    <mergeCell ref="B39:B41"/>
    <mergeCell ref="C39:C41"/>
    <mergeCell ref="D39:D41"/>
    <mergeCell ref="E39:E41"/>
    <mergeCell ref="H39:I41"/>
    <mergeCell ref="A36:A38"/>
    <mergeCell ref="B36:B38"/>
    <mergeCell ref="C36:C38"/>
    <mergeCell ref="D36:D38"/>
    <mergeCell ref="E36:E38"/>
    <mergeCell ref="H36:I38"/>
    <mergeCell ref="A30:A32"/>
    <mergeCell ref="B30:B32"/>
    <mergeCell ref="C30:D30"/>
    <mergeCell ref="E30:E32"/>
    <mergeCell ref="H30:I32"/>
    <mergeCell ref="A33:A35"/>
    <mergeCell ref="B33:B35"/>
    <mergeCell ref="C33:D33"/>
    <mergeCell ref="E33:E35"/>
    <mergeCell ref="H33:I35"/>
    <mergeCell ref="A24:A26"/>
    <mergeCell ref="B24:B26"/>
    <mergeCell ref="C24:D24"/>
    <mergeCell ref="E24:E26"/>
    <mergeCell ref="H24:I26"/>
    <mergeCell ref="A27:A29"/>
    <mergeCell ref="B27:B29"/>
    <mergeCell ref="C27:D27"/>
    <mergeCell ref="E27:E29"/>
    <mergeCell ref="H27:I29"/>
    <mergeCell ref="A18:A20"/>
    <mergeCell ref="B18:B20"/>
    <mergeCell ref="C18:D18"/>
    <mergeCell ref="E18:E20"/>
    <mergeCell ref="H18:I20"/>
    <mergeCell ref="A21:A23"/>
    <mergeCell ref="B21:B23"/>
    <mergeCell ref="C21:D21"/>
    <mergeCell ref="E21:E23"/>
    <mergeCell ref="H21:I23"/>
    <mergeCell ref="A12:A14"/>
    <mergeCell ref="B12:B14"/>
    <mergeCell ref="C12:D12"/>
    <mergeCell ref="E12:E14"/>
    <mergeCell ref="H12:I14"/>
    <mergeCell ref="A15:A17"/>
    <mergeCell ref="B15:B17"/>
    <mergeCell ref="C15:D15"/>
    <mergeCell ref="E15:E17"/>
    <mergeCell ref="H15:I17"/>
    <mergeCell ref="A6:A8"/>
    <mergeCell ref="B6:B8"/>
    <mergeCell ref="C6:D6"/>
    <mergeCell ref="E6:E8"/>
    <mergeCell ref="H6:I8"/>
    <mergeCell ref="A9:A11"/>
    <mergeCell ref="B9:B11"/>
    <mergeCell ref="C9:D9"/>
    <mergeCell ref="E9:E11"/>
    <mergeCell ref="H9:I11"/>
    <mergeCell ref="F1:I1"/>
    <mergeCell ref="A2:I2"/>
    <mergeCell ref="A3:A5"/>
    <mergeCell ref="B3:B5"/>
    <mergeCell ref="C3:C5"/>
    <mergeCell ref="D3:D5"/>
    <mergeCell ref="E3:E5"/>
    <mergeCell ref="F3:F5"/>
    <mergeCell ref="G3:G5"/>
    <mergeCell ref="H3:I5"/>
  </mergeCells>
  <pageMargins left="0.78740157480314965" right="0.39370078740157483" top="0" bottom="0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2"/>
  <sheetViews>
    <sheetView topLeftCell="A19" zoomScale="80" zoomScaleNormal="80" workbookViewId="0">
      <selection activeCell="Q16" sqref="Q16"/>
    </sheetView>
  </sheetViews>
  <sheetFormatPr defaultColWidth="9.109375" defaultRowHeight="13.8"/>
  <cols>
    <col min="1" max="1" width="7.109375" style="10" customWidth="1"/>
    <col min="2" max="2" width="55" style="10" customWidth="1"/>
    <col min="3" max="3" width="9.6640625" style="15" customWidth="1"/>
    <col min="4" max="4" width="12.5546875" style="15" customWidth="1"/>
    <col min="5" max="5" width="13.44140625" style="15" customWidth="1"/>
    <col min="6" max="6" width="12.109375" style="15" customWidth="1"/>
    <col min="7" max="8" width="12.6640625" style="15" customWidth="1"/>
    <col min="9" max="9" width="12.109375" style="15" customWidth="1"/>
    <col min="10" max="10" width="12.44140625" style="14" customWidth="1"/>
    <col min="11" max="11" width="16" style="10" customWidth="1"/>
    <col min="12" max="12" width="13.44140625" style="10" customWidth="1"/>
    <col min="13" max="13" width="18.6640625" style="14" customWidth="1"/>
    <col min="14" max="14" width="17.33203125" style="10" customWidth="1"/>
    <col min="15" max="15" width="12.33203125" style="10" bestFit="1" customWidth="1"/>
    <col min="16" max="16" width="9.5546875" style="10" bestFit="1" customWidth="1"/>
    <col min="17" max="17" width="20" style="10" customWidth="1"/>
    <col min="18" max="16384" width="9.109375" style="10"/>
  </cols>
  <sheetData>
    <row r="1" spans="1:15" ht="46.95" customHeight="1">
      <c r="J1" s="36"/>
      <c r="K1" s="1248" t="s">
        <v>470</v>
      </c>
      <c r="L1" s="1248"/>
      <c r="M1" s="1248"/>
      <c r="N1" s="1248"/>
      <c r="O1" s="36"/>
    </row>
    <row r="2" spans="1:15" ht="19.2" customHeight="1">
      <c r="A2" s="1268" t="s">
        <v>221</v>
      </c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</row>
    <row r="3" spans="1:15" ht="40.200000000000003" customHeight="1">
      <c r="A3" s="1266" t="s">
        <v>28</v>
      </c>
      <c r="B3" s="1266" t="s">
        <v>29</v>
      </c>
      <c r="C3" s="1266" t="s">
        <v>30</v>
      </c>
      <c r="D3" s="1271" t="s">
        <v>31</v>
      </c>
      <c r="E3" s="1272"/>
      <c r="F3" s="1272"/>
      <c r="G3" s="1272"/>
      <c r="H3" s="1272"/>
      <c r="I3" s="1272"/>
      <c r="J3" s="1273"/>
      <c r="K3" s="1274" t="s">
        <v>209</v>
      </c>
      <c r="L3" s="1275"/>
      <c r="M3" s="11" t="s">
        <v>212</v>
      </c>
      <c r="N3" s="1269" t="s">
        <v>220</v>
      </c>
    </row>
    <row r="4" spans="1:15" ht="36" customHeight="1">
      <c r="A4" s="1267"/>
      <c r="B4" s="1267"/>
      <c r="C4" s="1267"/>
      <c r="D4" s="67" t="s">
        <v>157</v>
      </c>
      <c r="E4" s="67" t="s">
        <v>158</v>
      </c>
      <c r="F4" s="67" t="s">
        <v>159</v>
      </c>
      <c r="G4" s="67" t="s">
        <v>160</v>
      </c>
      <c r="H4" s="67" t="s">
        <v>393</v>
      </c>
      <c r="I4" s="67" t="s">
        <v>408</v>
      </c>
      <c r="J4" s="96" t="s">
        <v>32</v>
      </c>
      <c r="K4" s="95" t="s">
        <v>213</v>
      </c>
      <c r="L4" s="131" t="s">
        <v>384</v>
      </c>
      <c r="M4" s="165" t="s">
        <v>214</v>
      </c>
      <c r="N4" s="1270"/>
    </row>
    <row r="5" spans="1:15" ht="22.2" customHeight="1">
      <c r="A5" s="22" t="s">
        <v>3</v>
      </c>
      <c r="B5" s="81" t="s">
        <v>51</v>
      </c>
      <c r="C5" s="111"/>
      <c r="D5" s="111"/>
      <c r="E5" s="111"/>
      <c r="F5" s="111"/>
      <c r="G5" s="111"/>
      <c r="H5" s="111"/>
      <c r="I5" s="111"/>
      <c r="J5" s="111"/>
      <c r="K5" s="86"/>
      <c r="L5" s="132"/>
      <c r="M5" s="86"/>
      <c r="N5" s="55"/>
    </row>
    <row r="6" spans="1:15" ht="23.4" customHeight="1">
      <c r="A6" s="23" t="s">
        <v>33</v>
      </c>
      <c r="B6" s="59" t="s">
        <v>34</v>
      </c>
      <c r="C6" s="59"/>
      <c r="D6" s="59"/>
      <c r="E6" s="59"/>
      <c r="F6" s="59"/>
      <c r="G6" s="59"/>
      <c r="H6" s="59"/>
      <c r="I6" s="59"/>
      <c r="J6" s="59"/>
      <c r="K6" s="86"/>
      <c r="L6" s="132"/>
      <c r="M6" s="86"/>
      <c r="N6" s="55"/>
    </row>
    <row r="7" spans="1:15" ht="17.399999999999999" customHeight="1">
      <c r="A7" s="24" t="s">
        <v>35</v>
      </c>
      <c r="B7" s="112" t="s">
        <v>36</v>
      </c>
      <c r="C7" s="113"/>
      <c r="D7" s="114"/>
      <c r="E7" s="114"/>
      <c r="F7" s="114"/>
      <c r="G7" s="114"/>
      <c r="H7" s="114"/>
      <c r="I7" s="114"/>
      <c r="J7" s="114"/>
      <c r="K7" s="86"/>
      <c r="L7" s="132"/>
      <c r="M7" s="86"/>
      <c r="N7" s="55"/>
    </row>
    <row r="8" spans="1:15" ht="15" customHeight="1">
      <c r="A8" s="1261" t="s">
        <v>37</v>
      </c>
      <c r="B8" s="1251" t="s">
        <v>49</v>
      </c>
      <c r="C8" s="25" t="s">
        <v>165</v>
      </c>
      <c r="D8" s="26">
        <v>49.4</v>
      </c>
      <c r="E8" s="26">
        <v>31.8</v>
      </c>
      <c r="F8" s="26">
        <v>38</v>
      </c>
      <c r="G8" s="26">
        <v>51</v>
      </c>
      <c r="H8" s="26"/>
      <c r="I8" s="26"/>
      <c r="J8" s="65">
        <f>SUM(D8:I8)</f>
        <v>170.2</v>
      </c>
      <c r="K8" s="86" t="s">
        <v>9</v>
      </c>
      <c r="L8" s="132"/>
      <c r="M8" s="86" t="s">
        <v>9</v>
      </c>
      <c r="N8" s="55"/>
    </row>
    <row r="9" spans="1:15" ht="15" customHeight="1">
      <c r="A9" s="1262"/>
      <c r="B9" s="1254"/>
      <c r="C9" s="97" t="s">
        <v>215</v>
      </c>
      <c r="D9" s="27">
        <v>284</v>
      </c>
      <c r="E9" s="27">
        <v>240</v>
      </c>
      <c r="F9" s="27">
        <v>296</v>
      </c>
      <c r="G9" s="27">
        <v>366</v>
      </c>
      <c r="H9" s="27"/>
      <c r="I9" s="27"/>
      <c r="J9" s="65">
        <f>SUM(D9:I9)</f>
        <v>1186</v>
      </c>
      <c r="K9" s="86" t="s">
        <v>9</v>
      </c>
      <c r="L9" s="132"/>
      <c r="M9" s="86" t="s">
        <v>9</v>
      </c>
      <c r="N9" s="55"/>
    </row>
    <row r="10" spans="1:15" ht="15" customHeight="1">
      <c r="A10" s="1263"/>
      <c r="B10" s="1252"/>
      <c r="C10" s="90" t="s">
        <v>39</v>
      </c>
      <c r="D10" s="91">
        <f>1080.12612-12.39482</f>
        <v>1067.7312999999999</v>
      </c>
      <c r="E10" s="91">
        <v>681.06295999999998</v>
      </c>
      <c r="F10" s="91">
        <v>739.83168000000001</v>
      </c>
      <c r="G10" s="91">
        <v>814.06902000000002</v>
      </c>
      <c r="H10" s="91"/>
      <c r="I10" s="91"/>
      <c r="J10" s="109">
        <f>SUM(D10:I10)</f>
        <v>3302.6949599999998</v>
      </c>
      <c r="K10" s="86" t="s">
        <v>9</v>
      </c>
      <c r="L10" s="132"/>
      <c r="M10" s="86" t="s">
        <v>9</v>
      </c>
      <c r="N10" s="106">
        <f>J10</f>
        <v>3302.6949599999998</v>
      </c>
    </row>
    <row r="11" spans="1:15" ht="17.399999999999999" customHeight="1">
      <c r="A11" s="29" t="s">
        <v>40</v>
      </c>
      <c r="B11" s="111" t="s">
        <v>41</v>
      </c>
      <c r="C11" s="111"/>
      <c r="D11" s="111"/>
      <c r="E11" s="111"/>
      <c r="F11" s="111"/>
      <c r="G11" s="111"/>
      <c r="H11" s="111"/>
      <c r="I11" s="111"/>
      <c r="J11" s="111"/>
      <c r="K11" s="86"/>
      <c r="L11" s="132"/>
      <c r="M11" s="86"/>
      <c r="N11" s="106"/>
    </row>
    <row r="12" spans="1:15" ht="13.95" customHeight="1">
      <c r="A12" s="1264" t="s">
        <v>42</v>
      </c>
      <c r="B12" s="1251" t="s">
        <v>161</v>
      </c>
      <c r="C12" s="97" t="s">
        <v>43</v>
      </c>
      <c r="D12" s="30">
        <v>2</v>
      </c>
      <c r="E12" s="21" t="s">
        <v>162</v>
      </c>
      <c r="F12" s="30">
        <v>3</v>
      </c>
      <c r="G12" s="30">
        <v>3</v>
      </c>
      <c r="H12" s="30">
        <v>3</v>
      </c>
      <c r="I12" s="30">
        <v>2</v>
      </c>
      <c r="J12" s="66">
        <f>SUM(D12:I12)</f>
        <v>13</v>
      </c>
      <c r="K12" s="86" t="s">
        <v>9</v>
      </c>
      <c r="L12" s="132"/>
      <c r="M12" s="86" t="s">
        <v>9</v>
      </c>
      <c r="N12" s="106"/>
    </row>
    <row r="13" spans="1:15" ht="14.4">
      <c r="A13" s="1265"/>
      <c r="B13" s="1252"/>
      <c r="C13" s="28" t="s">
        <v>39</v>
      </c>
      <c r="D13" s="31">
        <v>111.91473999999999</v>
      </c>
      <c r="E13" s="31">
        <v>109.17478</v>
      </c>
      <c r="F13" s="31">
        <v>155.74466000000001</v>
      </c>
      <c r="G13" s="31">
        <v>155.74466000000001</v>
      </c>
      <c r="H13" s="166">
        <v>146.803</v>
      </c>
      <c r="I13" s="166">
        <v>103.185</v>
      </c>
      <c r="J13" s="110">
        <f>SUM(D13:I13)</f>
        <v>782.56683999999996</v>
      </c>
      <c r="K13" s="86" t="s">
        <v>9</v>
      </c>
      <c r="L13" s="132"/>
      <c r="M13" s="86" t="s">
        <v>9</v>
      </c>
      <c r="N13" s="106">
        <f>J13</f>
        <v>782.56683999999996</v>
      </c>
    </row>
    <row r="14" spans="1:15" ht="13.95" customHeight="1">
      <c r="A14" s="1255" t="s">
        <v>14</v>
      </c>
      <c r="B14" s="1259" t="s">
        <v>44</v>
      </c>
      <c r="C14" s="97" t="s">
        <v>43</v>
      </c>
      <c r="D14" s="21" t="s">
        <v>162</v>
      </c>
      <c r="E14" s="21" t="s">
        <v>162</v>
      </c>
      <c r="F14" s="21" t="s">
        <v>162</v>
      </c>
      <c r="G14" s="21" t="s">
        <v>162</v>
      </c>
      <c r="H14" s="167" t="s">
        <v>162</v>
      </c>
      <c r="I14" s="167" t="s">
        <v>162</v>
      </c>
      <c r="J14" s="66"/>
      <c r="K14" s="86" t="s">
        <v>9</v>
      </c>
      <c r="L14" s="132"/>
      <c r="M14" s="86" t="s">
        <v>9</v>
      </c>
      <c r="N14" s="106"/>
    </row>
    <row r="15" spans="1:15" ht="13.95" customHeight="1">
      <c r="A15" s="1256"/>
      <c r="B15" s="1260"/>
      <c r="C15" s="97" t="s">
        <v>39</v>
      </c>
      <c r="D15" s="115">
        <v>46.106479999999998</v>
      </c>
      <c r="E15" s="115">
        <v>46.106479999999998</v>
      </c>
      <c r="F15" s="115">
        <v>46.106479999999998</v>
      </c>
      <c r="G15" s="115">
        <v>46.106479999999998</v>
      </c>
      <c r="H15" s="168">
        <v>43.241</v>
      </c>
      <c r="I15" s="168">
        <v>43.241</v>
      </c>
      <c r="J15" s="99">
        <f>SUM(D15:I15)</f>
        <v>270.90791999999999</v>
      </c>
      <c r="K15" s="86" t="s">
        <v>9</v>
      </c>
      <c r="L15" s="132"/>
      <c r="M15" s="86" t="s">
        <v>9</v>
      </c>
      <c r="N15" s="106">
        <f>J15</f>
        <v>270.90791999999999</v>
      </c>
    </row>
    <row r="16" spans="1:15" ht="13.95" customHeight="1">
      <c r="A16" s="1257" t="s">
        <v>15</v>
      </c>
      <c r="B16" s="1259" t="s">
        <v>54</v>
      </c>
      <c r="C16" s="97" t="s">
        <v>43</v>
      </c>
      <c r="D16" s="21" t="s">
        <v>162</v>
      </c>
      <c r="E16" s="21" t="s">
        <v>162</v>
      </c>
      <c r="F16" s="21" t="s">
        <v>162</v>
      </c>
      <c r="G16" s="21" t="s">
        <v>162</v>
      </c>
      <c r="H16" s="167" t="s">
        <v>162</v>
      </c>
      <c r="I16" s="167" t="s">
        <v>162</v>
      </c>
      <c r="J16" s="66"/>
      <c r="K16" s="86" t="s">
        <v>9</v>
      </c>
      <c r="L16" s="132"/>
      <c r="M16" s="86" t="s">
        <v>9</v>
      </c>
      <c r="N16" s="106"/>
    </row>
    <row r="17" spans="1:18" ht="13.95" customHeight="1">
      <c r="A17" s="1258"/>
      <c r="B17" s="1260"/>
      <c r="C17" s="28" t="s">
        <v>39</v>
      </c>
      <c r="D17" s="31">
        <v>56.018479999999997</v>
      </c>
      <c r="E17" s="31">
        <v>56.018479999999997</v>
      </c>
      <c r="F17" s="31">
        <v>56.018479999999997</v>
      </c>
      <c r="G17" s="31">
        <v>56.018479999999997</v>
      </c>
      <c r="H17" s="166">
        <v>33.005000000000003</v>
      </c>
      <c r="I17" s="166">
        <v>33.005000000000003</v>
      </c>
      <c r="J17" s="110">
        <f>SUM(D17:I17)</f>
        <v>290.08391999999998</v>
      </c>
      <c r="K17" s="86" t="s">
        <v>9</v>
      </c>
      <c r="L17" s="132"/>
      <c r="M17" s="86" t="s">
        <v>9</v>
      </c>
      <c r="N17" s="106">
        <f>J17</f>
        <v>290.08391999999998</v>
      </c>
    </row>
    <row r="18" spans="1:18" ht="24.6" customHeight="1">
      <c r="A18" s="23" t="s">
        <v>45</v>
      </c>
      <c r="B18" s="59" t="s">
        <v>46</v>
      </c>
      <c r="C18" s="111"/>
      <c r="D18" s="111"/>
      <c r="E18" s="111"/>
      <c r="F18" s="111"/>
      <c r="G18" s="111"/>
      <c r="H18" s="169"/>
      <c r="I18" s="169"/>
      <c r="J18" s="111"/>
      <c r="K18" s="86"/>
      <c r="L18" s="132"/>
      <c r="M18" s="86"/>
      <c r="N18" s="106"/>
    </row>
    <row r="19" spans="1:18">
      <c r="A19" s="59" t="s">
        <v>16</v>
      </c>
      <c r="B19" s="111" t="s">
        <v>56</v>
      </c>
      <c r="C19" s="111"/>
      <c r="D19" s="111"/>
      <c r="E19" s="111"/>
      <c r="F19" s="111"/>
      <c r="G19" s="111"/>
      <c r="H19" s="169"/>
      <c r="I19" s="169"/>
      <c r="J19" s="111"/>
      <c r="K19" s="86"/>
      <c r="L19" s="132"/>
      <c r="M19" s="86"/>
      <c r="N19" s="64"/>
    </row>
    <row r="20" spans="1:18" ht="15" customHeight="1">
      <c r="A20" s="1249" t="s">
        <v>47</v>
      </c>
      <c r="B20" s="1251" t="s">
        <v>50</v>
      </c>
      <c r="C20" s="12" t="s">
        <v>165</v>
      </c>
      <c r="D20" s="32">
        <v>47</v>
      </c>
      <c r="E20" s="32">
        <v>49</v>
      </c>
      <c r="F20" s="32">
        <v>34</v>
      </c>
      <c r="G20" s="32">
        <v>44.5</v>
      </c>
      <c r="H20" s="170"/>
      <c r="I20" s="170"/>
      <c r="J20" s="65">
        <f>SUM(D20:I20)</f>
        <v>174.5</v>
      </c>
      <c r="K20" s="86" t="s">
        <v>9</v>
      </c>
      <c r="L20" s="132"/>
      <c r="M20" s="86" t="s">
        <v>9</v>
      </c>
      <c r="N20" s="64"/>
    </row>
    <row r="21" spans="1:18" ht="15" customHeight="1">
      <c r="A21" s="1253"/>
      <c r="B21" s="1254"/>
      <c r="C21" s="97" t="s">
        <v>215</v>
      </c>
      <c r="D21" s="12">
        <v>59.69</v>
      </c>
      <c r="E21" s="12">
        <v>63</v>
      </c>
      <c r="F21" s="32">
        <v>52.5</v>
      </c>
      <c r="G21" s="12">
        <v>69.849999999999994</v>
      </c>
      <c r="H21" s="171"/>
      <c r="I21" s="171"/>
      <c r="J21" s="98">
        <f>SUM(D21:I21)</f>
        <v>245.04</v>
      </c>
      <c r="K21" s="86" t="s">
        <v>9</v>
      </c>
      <c r="L21" s="132"/>
      <c r="M21" s="86" t="s">
        <v>9</v>
      </c>
      <c r="N21" s="64"/>
    </row>
    <row r="22" spans="1:18" ht="15" customHeight="1">
      <c r="A22" s="1250"/>
      <c r="B22" s="1252"/>
      <c r="C22" s="28" t="s">
        <v>39</v>
      </c>
      <c r="D22" s="33">
        <v>141.65191999999999</v>
      </c>
      <c r="E22" s="33">
        <v>148.60802000000001</v>
      </c>
      <c r="F22" s="33">
        <v>104.75922</v>
      </c>
      <c r="G22" s="33">
        <v>192.72113999999999</v>
      </c>
      <c r="H22" s="172"/>
      <c r="I22" s="172"/>
      <c r="J22" s="110">
        <f>SUM(D22:I22)</f>
        <v>587.74030000000005</v>
      </c>
      <c r="K22" s="86" t="s">
        <v>9</v>
      </c>
      <c r="L22" s="132"/>
      <c r="M22" s="86" t="s">
        <v>9</v>
      </c>
      <c r="N22" s="106">
        <f>J22</f>
        <v>587.74030000000005</v>
      </c>
    </row>
    <row r="23" spans="1:18" ht="15" customHeight="1">
      <c r="A23" s="1249" t="s">
        <v>163</v>
      </c>
      <c r="B23" s="1251" t="s">
        <v>164</v>
      </c>
      <c r="C23" s="12" t="s">
        <v>38</v>
      </c>
      <c r="D23" s="32">
        <v>56</v>
      </c>
      <c r="E23" s="32">
        <v>65</v>
      </c>
      <c r="F23" s="32">
        <v>51</v>
      </c>
      <c r="G23" s="32">
        <v>65</v>
      </c>
      <c r="H23" s="170">
        <v>50</v>
      </c>
      <c r="I23" s="170">
        <v>49</v>
      </c>
      <c r="J23" s="65">
        <f>SUM(D23:I23)</f>
        <v>336</v>
      </c>
      <c r="K23" s="86" t="s">
        <v>9</v>
      </c>
      <c r="L23" s="132"/>
      <c r="M23" s="86" t="s">
        <v>9</v>
      </c>
      <c r="N23" s="106"/>
    </row>
    <row r="24" spans="1:18" ht="15" customHeight="1">
      <c r="A24" s="1250"/>
      <c r="B24" s="1252"/>
      <c r="C24" s="28" t="s">
        <v>39</v>
      </c>
      <c r="D24" s="33">
        <v>268.75207999999998</v>
      </c>
      <c r="E24" s="33">
        <v>311.94479999999999</v>
      </c>
      <c r="F24" s="33">
        <v>244.75559999999999</v>
      </c>
      <c r="G24" s="33">
        <v>311.94479999999999</v>
      </c>
      <c r="H24" s="172">
        <v>226.571</v>
      </c>
      <c r="I24" s="172">
        <v>222.04400000000001</v>
      </c>
      <c r="J24" s="31">
        <f>SUM(D24:I24)</f>
        <v>1586.0122799999999</v>
      </c>
      <c r="K24" s="86" t="s">
        <v>9</v>
      </c>
      <c r="L24" s="132"/>
      <c r="M24" s="86" t="s">
        <v>9</v>
      </c>
      <c r="N24" s="106">
        <f>J24</f>
        <v>1586.0122799999999</v>
      </c>
    </row>
    <row r="25" spans="1:18" ht="19.2" customHeight="1">
      <c r="A25" s="61" t="s">
        <v>166</v>
      </c>
      <c r="B25" s="117" t="s">
        <v>174</v>
      </c>
      <c r="C25" s="97"/>
      <c r="D25" s="116"/>
      <c r="E25" s="116"/>
      <c r="F25" s="116"/>
      <c r="G25" s="116"/>
      <c r="H25" s="116"/>
      <c r="I25" s="116"/>
      <c r="J25" s="118"/>
      <c r="K25" s="86"/>
      <c r="L25" s="132"/>
      <c r="M25" s="86"/>
      <c r="N25" s="106"/>
    </row>
    <row r="26" spans="1:18" ht="15" customHeight="1">
      <c r="A26" s="1249" t="s">
        <v>167</v>
      </c>
      <c r="B26" s="1251" t="s">
        <v>49</v>
      </c>
      <c r="C26" s="97" t="s">
        <v>215</v>
      </c>
      <c r="D26" s="32">
        <v>360</v>
      </c>
      <c r="E26" s="32">
        <v>72</v>
      </c>
      <c r="F26" s="32">
        <v>270</v>
      </c>
      <c r="G26" s="32">
        <v>318.89999999999998</v>
      </c>
      <c r="H26" s="32"/>
      <c r="I26" s="32"/>
      <c r="J26" s="65">
        <f>SUM(D26:I26)</f>
        <v>1020.9</v>
      </c>
      <c r="K26" s="86" t="s">
        <v>9</v>
      </c>
      <c r="L26" s="132"/>
      <c r="M26" s="86" t="s">
        <v>9</v>
      </c>
      <c r="N26" s="106"/>
    </row>
    <row r="27" spans="1:18" ht="15" customHeight="1">
      <c r="A27" s="1250"/>
      <c r="B27" s="1252"/>
      <c r="C27" s="28" t="s">
        <v>39</v>
      </c>
      <c r="D27" s="33">
        <v>774.61217999999997</v>
      </c>
      <c r="E27" s="33">
        <v>181.58547999999999</v>
      </c>
      <c r="F27" s="33">
        <v>590.71987999999999</v>
      </c>
      <c r="G27" s="33">
        <v>796.22342000000003</v>
      </c>
      <c r="H27" s="33"/>
      <c r="I27" s="33"/>
      <c r="J27" s="110">
        <f>SUM(D27:I27)</f>
        <v>2343.1409599999997</v>
      </c>
      <c r="K27" s="86" t="s">
        <v>9</v>
      </c>
      <c r="L27" s="132"/>
      <c r="M27" s="86" t="s">
        <v>9</v>
      </c>
      <c r="N27" s="106">
        <f>J27</f>
        <v>2343.1409599999997</v>
      </c>
    </row>
    <row r="28" spans="1:18" ht="25.95" customHeight="1">
      <c r="A28" s="70"/>
      <c r="B28" s="71" t="s">
        <v>175</v>
      </c>
      <c r="C28" s="119" t="s">
        <v>39</v>
      </c>
      <c r="D28" s="120">
        <v>2479.1819999999998</v>
      </c>
      <c r="E28" s="120">
        <v>1534.501</v>
      </c>
      <c r="F28" s="120">
        <v>1937.9359999999999</v>
      </c>
      <c r="G28" s="120">
        <v>2372.828</v>
      </c>
      <c r="H28" s="120">
        <v>449.62</v>
      </c>
      <c r="I28" s="120">
        <v>401.47500000000002</v>
      </c>
      <c r="J28" s="120">
        <f>SUM(D28:I28)</f>
        <v>9175.5420000000013</v>
      </c>
      <c r="K28" s="72" t="s">
        <v>9</v>
      </c>
      <c r="L28" s="72"/>
      <c r="M28" s="72" t="s">
        <v>9</v>
      </c>
      <c r="N28" s="83">
        <f>N10+N13+N15+N17+N22+N24+N27</f>
        <v>9163.1471799999999</v>
      </c>
      <c r="P28"/>
      <c r="Q28"/>
      <c r="R28"/>
    </row>
    <row r="29" spans="1:18" ht="27.6" customHeight="1">
      <c r="A29" s="22" t="s">
        <v>48</v>
      </c>
      <c r="B29" s="81" t="s">
        <v>52</v>
      </c>
      <c r="C29" s="111"/>
      <c r="D29" s="121"/>
      <c r="E29" s="121"/>
      <c r="F29" s="121"/>
      <c r="G29" s="121"/>
      <c r="H29" s="121"/>
      <c r="I29" s="121"/>
      <c r="J29" s="121"/>
      <c r="K29" s="13"/>
      <c r="L29" s="13"/>
      <c r="M29" s="86"/>
      <c r="N29" s="86"/>
      <c r="P29"/>
      <c r="Q29"/>
      <c r="R29"/>
    </row>
    <row r="30" spans="1:18" ht="15.6" customHeight="1">
      <c r="A30" s="1261" t="s">
        <v>104</v>
      </c>
      <c r="B30" s="1251" t="s">
        <v>50</v>
      </c>
      <c r="C30" s="97" t="s">
        <v>215</v>
      </c>
      <c r="D30" s="27" t="s">
        <v>9</v>
      </c>
      <c r="E30" s="27" t="s">
        <v>9</v>
      </c>
      <c r="F30" s="27" t="s">
        <v>9</v>
      </c>
      <c r="G30" s="27" t="s">
        <v>9</v>
      </c>
      <c r="H30" s="27"/>
      <c r="I30" s="27" t="s">
        <v>9</v>
      </c>
      <c r="J30" s="27" t="s">
        <v>9</v>
      </c>
      <c r="K30" s="104">
        <v>373</v>
      </c>
      <c r="L30" s="104" t="s">
        <v>9</v>
      </c>
      <c r="M30" s="86" t="s">
        <v>9</v>
      </c>
      <c r="N30" s="86"/>
    </row>
    <row r="31" spans="1:18" ht="15" customHeight="1">
      <c r="A31" s="1263"/>
      <c r="B31" s="1252"/>
      <c r="C31" s="97" t="s">
        <v>39</v>
      </c>
      <c r="D31" s="27" t="s">
        <v>9</v>
      </c>
      <c r="E31" s="27" t="s">
        <v>9</v>
      </c>
      <c r="F31" s="27" t="s">
        <v>9</v>
      </c>
      <c r="G31" s="27" t="s">
        <v>9</v>
      </c>
      <c r="H31" s="27"/>
      <c r="I31" s="27" t="s">
        <v>9</v>
      </c>
      <c r="J31" s="27" t="s">
        <v>9</v>
      </c>
      <c r="K31" s="16">
        <f>0.00368+1558.76322</f>
        <v>1558.7669000000001</v>
      </c>
      <c r="L31" s="16" t="s">
        <v>9</v>
      </c>
      <c r="M31" s="86" t="s">
        <v>9</v>
      </c>
      <c r="N31" s="100">
        <f>K31</f>
        <v>1558.7669000000001</v>
      </c>
    </row>
    <row r="32" spans="1:18" ht="14.4" customHeight="1">
      <c r="A32" s="1261" t="s">
        <v>216</v>
      </c>
      <c r="B32" s="1251" t="s">
        <v>206</v>
      </c>
      <c r="C32" s="97" t="s">
        <v>215</v>
      </c>
      <c r="D32" s="27" t="s">
        <v>9</v>
      </c>
      <c r="E32" s="27" t="s">
        <v>9</v>
      </c>
      <c r="F32" s="27" t="s">
        <v>9</v>
      </c>
      <c r="G32" s="27" t="s">
        <v>9</v>
      </c>
      <c r="H32" s="27"/>
      <c r="I32" s="27" t="s">
        <v>9</v>
      </c>
      <c r="J32" s="27" t="s">
        <v>9</v>
      </c>
      <c r="K32" s="105">
        <v>517</v>
      </c>
      <c r="L32" s="105" t="s">
        <v>9</v>
      </c>
      <c r="M32" s="86" t="s">
        <v>9</v>
      </c>
      <c r="N32" s="62"/>
    </row>
    <row r="33" spans="1:14">
      <c r="A33" s="1263"/>
      <c r="B33" s="1252"/>
      <c r="C33" s="97" t="s">
        <v>39</v>
      </c>
      <c r="D33" s="34" t="s">
        <v>9</v>
      </c>
      <c r="E33" s="34" t="s">
        <v>9</v>
      </c>
      <c r="F33" s="34" t="s">
        <v>9</v>
      </c>
      <c r="G33" s="34" t="s">
        <v>9</v>
      </c>
      <c r="H33" s="34"/>
      <c r="I33" s="34" t="s">
        <v>9</v>
      </c>
      <c r="J33" s="34" t="s">
        <v>9</v>
      </c>
      <c r="K33" s="16">
        <v>1514.7483</v>
      </c>
      <c r="L33" s="16" t="s">
        <v>9</v>
      </c>
      <c r="M33" s="86" t="s">
        <v>9</v>
      </c>
      <c r="N33" s="100">
        <f>K33</f>
        <v>1514.7483</v>
      </c>
    </row>
    <row r="34" spans="1:14" ht="16.2" customHeight="1">
      <c r="A34" s="1264" t="s">
        <v>217</v>
      </c>
      <c r="B34" s="1251" t="s">
        <v>44</v>
      </c>
      <c r="C34" s="97" t="s">
        <v>43</v>
      </c>
      <c r="D34" s="30"/>
      <c r="E34" s="30"/>
      <c r="F34" s="30"/>
      <c r="G34" s="30"/>
      <c r="H34" s="30"/>
      <c r="I34" s="30"/>
      <c r="J34" s="30"/>
      <c r="K34" s="105">
        <v>4</v>
      </c>
      <c r="L34" s="105" t="s">
        <v>9</v>
      </c>
      <c r="M34" s="86"/>
      <c r="N34" s="62"/>
    </row>
    <row r="35" spans="1:14" ht="13.95" customHeight="1">
      <c r="A35" s="1265"/>
      <c r="B35" s="1252"/>
      <c r="C35" s="97" t="s">
        <v>39</v>
      </c>
      <c r="D35" s="32" t="s">
        <v>9</v>
      </c>
      <c r="E35" s="32" t="s">
        <v>9</v>
      </c>
      <c r="F35" s="32" t="s">
        <v>9</v>
      </c>
      <c r="G35" s="32" t="s">
        <v>9</v>
      </c>
      <c r="H35" s="32"/>
      <c r="I35" s="32" t="s">
        <v>9</v>
      </c>
      <c r="J35" s="32" t="s">
        <v>9</v>
      </c>
      <c r="K35" s="108">
        <v>124.76604</v>
      </c>
      <c r="L35" s="108" t="s">
        <v>9</v>
      </c>
      <c r="M35" s="86" t="s">
        <v>9</v>
      </c>
      <c r="N35" s="62">
        <f>K35</f>
        <v>124.76604</v>
      </c>
    </row>
    <row r="36" spans="1:14" ht="13.95" customHeight="1">
      <c r="A36" s="1264" t="s">
        <v>177</v>
      </c>
      <c r="B36" s="1251" t="s">
        <v>54</v>
      </c>
      <c r="C36" s="97" t="s">
        <v>43</v>
      </c>
      <c r="D36" s="12"/>
      <c r="E36" s="12"/>
      <c r="F36" s="12"/>
      <c r="G36" s="12"/>
      <c r="H36" s="12"/>
      <c r="I36" s="12"/>
      <c r="J36" s="12"/>
      <c r="K36" s="86">
        <v>4</v>
      </c>
      <c r="L36" s="132" t="s">
        <v>9</v>
      </c>
      <c r="M36" s="86"/>
      <c r="N36" s="62"/>
    </row>
    <row r="37" spans="1:14">
      <c r="A37" s="1265"/>
      <c r="B37" s="1252"/>
      <c r="C37" s="97" t="s">
        <v>39</v>
      </c>
      <c r="D37" s="12" t="s">
        <v>9</v>
      </c>
      <c r="E37" s="12" t="s">
        <v>9</v>
      </c>
      <c r="F37" s="12" t="s">
        <v>9</v>
      </c>
      <c r="G37" s="12" t="s">
        <v>9</v>
      </c>
      <c r="H37" s="12"/>
      <c r="I37" s="12" t="s">
        <v>9</v>
      </c>
      <c r="J37" s="12" t="s">
        <v>9</v>
      </c>
      <c r="K37" s="16">
        <v>28.433199999999999</v>
      </c>
      <c r="L37" s="16" t="s">
        <v>9</v>
      </c>
      <c r="M37" s="86" t="s">
        <v>9</v>
      </c>
      <c r="N37" s="100">
        <f>K37</f>
        <v>28.433199999999999</v>
      </c>
    </row>
    <row r="38" spans="1:14" ht="12.6" customHeight="1">
      <c r="A38" s="1249" t="s">
        <v>218</v>
      </c>
      <c r="B38" s="1251" t="s">
        <v>207</v>
      </c>
      <c r="C38" s="97" t="s">
        <v>43</v>
      </c>
      <c r="D38" s="32" t="s">
        <v>9</v>
      </c>
      <c r="E38" s="32" t="s">
        <v>9</v>
      </c>
      <c r="F38" s="32" t="s">
        <v>9</v>
      </c>
      <c r="G38" s="32" t="s">
        <v>9</v>
      </c>
      <c r="H38" s="32"/>
      <c r="I38" s="32" t="s">
        <v>9</v>
      </c>
      <c r="J38" s="32" t="s">
        <v>9</v>
      </c>
      <c r="K38" s="105">
        <v>46</v>
      </c>
      <c r="L38" s="105" t="s">
        <v>9</v>
      </c>
      <c r="M38" s="86" t="s">
        <v>9</v>
      </c>
      <c r="N38" s="62"/>
    </row>
    <row r="39" spans="1:14" ht="16.95" customHeight="1">
      <c r="A39" s="1250"/>
      <c r="B39" s="1252"/>
      <c r="C39" s="97" t="s">
        <v>39</v>
      </c>
      <c r="D39" s="32" t="s">
        <v>9</v>
      </c>
      <c r="E39" s="32" t="s">
        <v>9</v>
      </c>
      <c r="F39" s="32" t="s">
        <v>9</v>
      </c>
      <c r="G39" s="32" t="s">
        <v>9</v>
      </c>
      <c r="H39" s="32"/>
      <c r="I39" s="32" t="s">
        <v>9</v>
      </c>
      <c r="J39" s="32" t="s">
        <v>9</v>
      </c>
      <c r="K39" s="16">
        <v>386.57297999999997</v>
      </c>
      <c r="L39" s="16" t="s">
        <v>9</v>
      </c>
      <c r="M39" s="86" t="s">
        <v>9</v>
      </c>
      <c r="N39" s="100">
        <f>K39</f>
        <v>386.57297999999997</v>
      </c>
    </row>
    <row r="40" spans="1:14" ht="17.399999999999999" customHeight="1">
      <c r="A40" s="1244" t="s">
        <v>219</v>
      </c>
      <c r="B40" s="1246" t="s">
        <v>208</v>
      </c>
      <c r="C40" s="101" t="s">
        <v>38</v>
      </c>
      <c r="D40" s="101" t="s">
        <v>9</v>
      </c>
      <c r="E40" s="101" t="s">
        <v>9</v>
      </c>
      <c r="F40" s="101" t="s">
        <v>9</v>
      </c>
      <c r="G40" s="101" t="s">
        <v>9</v>
      </c>
      <c r="H40" s="101"/>
      <c r="I40" s="101" t="s">
        <v>9</v>
      </c>
      <c r="J40" s="101" t="s">
        <v>9</v>
      </c>
      <c r="K40" s="122">
        <v>20</v>
      </c>
      <c r="L40" s="122" t="s">
        <v>9</v>
      </c>
      <c r="M40" s="102" t="s">
        <v>9</v>
      </c>
      <c r="N40" s="4"/>
    </row>
    <row r="41" spans="1:14" ht="19.2" customHeight="1">
      <c r="A41" s="1245"/>
      <c r="B41" s="1247"/>
      <c r="C41" s="55" t="s">
        <v>39</v>
      </c>
      <c r="D41" s="63" t="s">
        <v>9</v>
      </c>
      <c r="E41" s="63" t="s">
        <v>9</v>
      </c>
      <c r="F41" s="63" t="s">
        <v>9</v>
      </c>
      <c r="G41" s="63" t="s">
        <v>9</v>
      </c>
      <c r="H41" s="63"/>
      <c r="I41" s="63" t="s">
        <v>9</v>
      </c>
      <c r="J41" s="63" t="s">
        <v>9</v>
      </c>
      <c r="K41" s="108">
        <v>126.38625999999999</v>
      </c>
      <c r="L41" s="108" t="s">
        <v>9</v>
      </c>
      <c r="M41" s="86" t="s">
        <v>9</v>
      </c>
      <c r="N41" s="133">
        <f>K41</f>
        <v>126.38625999999999</v>
      </c>
    </row>
    <row r="42" spans="1:14" ht="19.2" customHeight="1">
      <c r="A42" s="1244" t="s">
        <v>385</v>
      </c>
      <c r="B42" s="1246" t="s">
        <v>409</v>
      </c>
      <c r="C42" s="97" t="s">
        <v>43</v>
      </c>
      <c r="D42" s="101" t="s">
        <v>9</v>
      </c>
      <c r="E42" s="101" t="s">
        <v>9</v>
      </c>
      <c r="F42" s="101" t="s">
        <v>9</v>
      </c>
      <c r="G42" s="101" t="s">
        <v>9</v>
      </c>
      <c r="H42" s="101"/>
      <c r="I42" s="101" t="s">
        <v>9</v>
      </c>
      <c r="J42" s="101" t="s">
        <v>9</v>
      </c>
      <c r="K42" s="108" t="s">
        <v>9</v>
      </c>
      <c r="L42" s="108">
        <v>11</v>
      </c>
      <c r="M42" s="132"/>
      <c r="N42" s="133"/>
    </row>
    <row r="43" spans="1:14" ht="19.2" customHeight="1">
      <c r="A43" s="1245"/>
      <c r="B43" s="1247"/>
      <c r="C43" s="97" t="s">
        <v>39</v>
      </c>
      <c r="D43" s="63" t="s">
        <v>9</v>
      </c>
      <c r="E43" s="63" t="s">
        <v>9</v>
      </c>
      <c r="F43" s="63" t="s">
        <v>9</v>
      </c>
      <c r="G43" s="63" t="s">
        <v>9</v>
      </c>
      <c r="H43" s="63"/>
      <c r="I43" s="63" t="s">
        <v>9</v>
      </c>
      <c r="J43" s="63" t="s">
        <v>9</v>
      </c>
      <c r="K43" s="108" t="s">
        <v>9</v>
      </c>
      <c r="L43" s="190">
        <v>396</v>
      </c>
      <c r="M43" s="132"/>
      <c r="N43" s="189">
        <f>L43</f>
        <v>396</v>
      </c>
    </row>
    <row r="44" spans="1:14" ht="15.6" customHeight="1">
      <c r="A44" s="1244" t="s">
        <v>403</v>
      </c>
      <c r="B44" s="1246" t="s">
        <v>410</v>
      </c>
      <c r="C44" s="97" t="s">
        <v>43</v>
      </c>
      <c r="D44" s="101" t="s">
        <v>9</v>
      </c>
      <c r="E44" s="101" t="s">
        <v>9</v>
      </c>
      <c r="F44" s="101" t="s">
        <v>9</v>
      </c>
      <c r="G44" s="101" t="s">
        <v>9</v>
      </c>
      <c r="H44" s="63"/>
      <c r="I44" s="101" t="s">
        <v>9</v>
      </c>
      <c r="J44" s="101" t="s">
        <v>9</v>
      </c>
      <c r="K44" s="108" t="s">
        <v>9</v>
      </c>
      <c r="L44" s="191">
        <v>11</v>
      </c>
      <c r="M44" s="187"/>
      <c r="N44" s="188"/>
    </row>
    <row r="45" spans="1:14" ht="16.2" customHeight="1">
      <c r="A45" s="1245"/>
      <c r="B45" s="1247"/>
      <c r="C45" s="97" t="s">
        <v>39</v>
      </c>
      <c r="D45" s="63" t="s">
        <v>9</v>
      </c>
      <c r="E45" s="63" t="s">
        <v>9</v>
      </c>
      <c r="F45" s="63" t="s">
        <v>9</v>
      </c>
      <c r="G45" s="63" t="s">
        <v>9</v>
      </c>
      <c r="H45" s="63"/>
      <c r="I45" s="63" t="s">
        <v>9</v>
      </c>
      <c r="J45" s="63" t="s">
        <v>9</v>
      </c>
      <c r="K45" s="108" t="s">
        <v>9</v>
      </c>
      <c r="L45" s="191">
        <v>48.60801</v>
      </c>
      <c r="M45" s="187"/>
      <c r="N45" s="188">
        <f>L45</f>
        <v>48.60801</v>
      </c>
    </row>
    <row r="46" spans="1:14" ht="20.399999999999999" customHeight="1">
      <c r="A46" s="72"/>
      <c r="B46" s="84" t="s">
        <v>176</v>
      </c>
      <c r="C46" s="73" t="s">
        <v>39</v>
      </c>
      <c r="D46" s="72" t="s">
        <v>9</v>
      </c>
      <c r="E46" s="72" t="s">
        <v>9</v>
      </c>
      <c r="F46" s="72" t="s">
        <v>9</v>
      </c>
      <c r="G46" s="72" t="s">
        <v>9</v>
      </c>
      <c r="H46" s="72"/>
      <c r="I46" s="72" t="s">
        <v>9</v>
      </c>
      <c r="J46" s="72" t="s">
        <v>9</v>
      </c>
      <c r="K46" s="103">
        <f>K31+K33+K35+K37+K39+K41</f>
        <v>3739.6736799999999</v>
      </c>
      <c r="L46" s="103">
        <f>L43+L45</f>
        <v>444.60800999999998</v>
      </c>
      <c r="M46" s="85" t="s">
        <v>9</v>
      </c>
      <c r="N46" s="88">
        <f>N31+N33+N35+N37+N39+N41+N43+N45</f>
        <v>4184.2816899999998</v>
      </c>
    </row>
    <row r="47" spans="1:14" ht="30.6" customHeight="1">
      <c r="A47" s="86" t="s">
        <v>88</v>
      </c>
      <c r="B47" s="142" t="s">
        <v>168</v>
      </c>
      <c r="C47" s="64"/>
      <c r="D47" s="64"/>
      <c r="E47" s="64"/>
      <c r="F47" s="64"/>
      <c r="G47" s="64"/>
      <c r="H47" s="64"/>
      <c r="I47" s="64"/>
      <c r="J47" s="62"/>
      <c r="K47" s="64"/>
      <c r="L47" s="64"/>
      <c r="M47" s="79"/>
      <c r="N47" s="80"/>
    </row>
    <row r="48" spans="1:14" ht="33" customHeight="1">
      <c r="A48" s="72" t="s">
        <v>169</v>
      </c>
      <c r="B48" s="143" t="s">
        <v>402</v>
      </c>
      <c r="C48" s="72" t="s">
        <v>39</v>
      </c>
      <c r="D48" s="82" t="s">
        <v>9</v>
      </c>
      <c r="E48" s="82" t="s">
        <v>9</v>
      </c>
      <c r="F48" s="82" t="s">
        <v>9</v>
      </c>
      <c r="G48" s="82" t="s">
        <v>9</v>
      </c>
      <c r="H48" s="82"/>
      <c r="I48" s="82"/>
      <c r="J48" s="83" t="s">
        <v>9</v>
      </c>
      <c r="K48" s="82" t="s">
        <v>9</v>
      </c>
      <c r="L48" s="82"/>
      <c r="M48" s="123">
        <v>2677.2475599999998</v>
      </c>
      <c r="N48" s="88">
        <v>2677.2475599999998</v>
      </c>
    </row>
    <row r="50" spans="1:14">
      <c r="A50" s="13"/>
      <c r="B50" s="64" t="s">
        <v>170</v>
      </c>
      <c r="C50" s="64" t="s">
        <v>39</v>
      </c>
      <c r="D50" s="64"/>
      <c r="E50" s="64"/>
      <c r="F50" s="64"/>
      <c r="G50" s="64"/>
      <c r="H50" s="64"/>
      <c r="I50" s="64"/>
      <c r="J50" s="100">
        <f>J28</f>
        <v>9175.5420000000013</v>
      </c>
      <c r="K50" s="106">
        <f>K46</f>
        <v>3739.6736799999999</v>
      </c>
      <c r="L50" s="106">
        <f>L46</f>
        <v>444.60800999999998</v>
      </c>
      <c r="M50" s="107">
        <f>M48</f>
        <v>2677.2475599999998</v>
      </c>
      <c r="N50" s="42">
        <f>N28+N46+N48</f>
        <v>16024.67643</v>
      </c>
    </row>
    <row r="52" spans="1:14">
      <c r="D52" s="89"/>
      <c r="E52" s="89"/>
      <c r="F52" s="89"/>
      <c r="G52" s="89"/>
      <c r="H52" s="89"/>
      <c r="I52" s="89"/>
      <c r="J52" s="89"/>
      <c r="N52" s="126"/>
    </row>
  </sheetData>
  <mergeCells count="38">
    <mergeCell ref="A3:A4"/>
    <mergeCell ref="B32:B33"/>
    <mergeCell ref="B12:B13"/>
    <mergeCell ref="A12:A13"/>
    <mergeCell ref="A2:N2"/>
    <mergeCell ref="N3:N4"/>
    <mergeCell ref="B3:B4"/>
    <mergeCell ref="C3:C4"/>
    <mergeCell ref="D3:J3"/>
    <mergeCell ref="K3:L3"/>
    <mergeCell ref="B8:B10"/>
    <mergeCell ref="B40:B41"/>
    <mergeCell ref="A40:A41"/>
    <mergeCell ref="B38:B39"/>
    <mergeCell ref="A38:A39"/>
    <mergeCell ref="A30:A31"/>
    <mergeCell ref="A36:A37"/>
    <mergeCell ref="B36:B37"/>
    <mergeCell ref="A34:A35"/>
    <mergeCell ref="B34:B35"/>
    <mergeCell ref="A32:A33"/>
    <mergeCell ref="B30:B31"/>
    <mergeCell ref="A44:A45"/>
    <mergeCell ref="B44:B45"/>
    <mergeCell ref="B42:B43"/>
    <mergeCell ref="A42:A43"/>
    <mergeCell ref="K1:N1"/>
    <mergeCell ref="A23:A24"/>
    <mergeCell ref="B23:B24"/>
    <mergeCell ref="A26:A27"/>
    <mergeCell ref="B26:B27"/>
    <mergeCell ref="A20:A22"/>
    <mergeCell ref="B20:B22"/>
    <mergeCell ref="A14:A15"/>
    <mergeCell ref="A16:A17"/>
    <mergeCell ref="B16:B17"/>
    <mergeCell ref="B14:B15"/>
    <mergeCell ref="A8:A10"/>
  </mergeCells>
  <pageMargins left="0.39370078740157483" right="0.19685039370078741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topLeftCell="A28" zoomScale="80" zoomScaleNormal="80" workbookViewId="0">
      <selection sqref="A1:A1048576"/>
    </sheetView>
  </sheetViews>
  <sheetFormatPr defaultColWidth="8.88671875" defaultRowHeight="13.8"/>
  <cols>
    <col min="1" max="1" width="4.6640625" style="355" customWidth="1"/>
    <col min="2" max="2" width="44.5546875" style="355" customWidth="1"/>
    <col min="3" max="3" width="13" style="355" customWidth="1"/>
    <col min="4" max="4" width="19.21875" style="10" customWidth="1"/>
    <col min="5" max="5" width="16.77734375" style="10" customWidth="1"/>
    <col min="6" max="12" width="15.5546875" style="10" customWidth="1"/>
    <col min="13" max="13" width="15.5546875" style="300" customWidth="1"/>
    <col min="14" max="14" width="16.33203125" style="10" bestFit="1" customWidth="1"/>
    <col min="15" max="16384" width="8.88671875" style="10"/>
  </cols>
  <sheetData>
    <row r="1" spans="1:15" ht="52.2" customHeight="1">
      <c r="B1" s="831"/>
      <c r="C1" s="831"/>
      <c r="D1" s="7"/>
      <c r="F1" s="40"/>
      <c r="G1" s="40"/>
      <c r="I1" s="226"/>
      <c r="K1" s="812" t="s">
        <v>466</v>
      </c>
      <c r="L1" s="812"/>
      <c r="M1" s="812"/>
    </row>
    <row r="2" spans="1:15" ht="22.2" customHeight="1">
      <c r="A2" s="838" t="s">
        <v>428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</row>
    <row r="3" spans="1:15" ht="21" customHeight="1">
      <c r="A3" s="791"/>
      <c r="B3" s="791"/>
      <c r="C3" s="791"/>
      <c r="D3" s="43"/>
      <c r="E3" s="43"/>
      <c r="F3" s="43"/>
      <c r="G3" s="43"/>
      <c r="H3" s="43"/>
      <c r="I3" s="43"/>
      <c r="J3" s="43"/>
      <c r="K3" s="220"/>
      <c r="M3" s="8" t="s">
        <v>22</v>
      </c>
    </row>
    <row r="4" spans="1:15" ht="15.6" customHeight="1">
      <c r="A4" s="839" t="s">
        <v>0</v>
      </c>
      <c r="B4" s="840" t="s">
        <v>6</v>
      </c>
      <c r="C4" s="840" t="s">
        <v>8</v>
      </c>
      <c r="D4" s="841" t="s">
        <v>19</v>
      </c>
      <c r="E4" s="841" t="s">
        <v>4</v>
      </c>
      <c r="F4" s="842" t="s">
        <v>74</v>
      </c>
      <c r="G4" s="843"/>
      <c r="H4" s="843"/>
      <c r="I4" s="843"/>
      <c r="J4" s="843"/>
      <c r="K4" s="843"/>
      <c r="L4" s="843"/>
      <c r="M4" s="844"/>
    </row>
    <row r="5" spans="1:15">
      <c r="A5" s="839"/>
      <c r="B5" s="840"/>
      <c r="C5" s="840"/>
      <c r="D5" s="841"/>
      <c r="E5" s="841"/>
      <c r="F5" s="841">
        <v>2018</v>
      </c>
      <c r="G5" s="841">
        <v>2019</v>
      </c>
      <c r="H5" s="841">
        <v>2020</v>
      </c>
      <c r="I5" s="841">
        <v>2021</v>
      </c>
      <c r="J5" s="841">
        <v>2022</v>
      </c>
      <c r="K5" s="841">
        <v>2023</v>
      </c>
      <c r="L5" s="842">
        <v>2024</v>
      </c>
      <c r="M5" s="845">
        <v>2025</v>
      </c>
    </row>
    <row r="6" spans="1:15" ht="7.95" customHeight="1">
      <c r="A6" s="839"/>
      <c r="B6" s="840"/>
      <c r="C6" s="840"/>
      <c r="D6" s="841"/>
      <c r="E6" s="841"/>
      <c r="F6" s="841"/>
      <c r="G6" s="841"/>
      <c r="H6" s="841"/>
      <c r="I6" s="841"/>
      <c r="J6" s="841"/>
      <c r="K6" s="841"/>
      <c r="L6" s="842"/>
      <c r="M6" s="846"/>
    </row>
    <row r="7" spans="1:15" ht="19.95" customHeight="1">
      <c r="A7" s="815"/>
      <c r="B7" s="820" t="s">
        <v>569</v>
      </c>
      <c r="C7" s="817" t="s">
        <v>9</v>
      </c>
      <c r="D7" s="431" t="s">
        <v>20</v>
      </c>
      <c r="E7" s="225">
        <f>SUM(F7:L7)</f>
        <v>407878.41789199994</v>
      </c>
      <c r="F7" s="225">
        <f>SUM(F8:F10)</f>
        <v>16024.676431999998</v>
      </c>
      <c r="G7" s="225">
        <f t="shared" ref="G7:J7" si="0">SUM(G8:G10)</f>
        <v>71937.059509999992</v>
      </c>
      <c r="H7" s="225">
        <f t="shared" si="0"/>
        <v>65338.151289999994</v>
      </c>
      <c r="I7" s="225">
        <f t="shared" si="0"/>
        <v>35356.36591</v>
      </c>
      <c r="J7" s="225">
        <f t="shared" si="0"/>
        <v>125291.96743</v>
      </c>
      <c r="K7" s="225">
        <f t="shared" ref="K7:L7" si="1">SUM(K8:K10)</f>
        <v>93290.98444</v>
      </c>
      <c r="L7" s="760">
        <f t="shared" si="1"/>
        <v>639.21288000000004</v>
      </c>
      <c r="M7" s="225">
        <f t="shared" ref="M7" si="2">SUM(M8:M10)</f>
        <v>639.21288000000004</v>
      </c>
    </row>
    <row r="8" spans="1:15" ht="19.95" customHeight="1">
      <c r="A8" s="815"/>
      <c r="B8" s="820"/>
      <c r="C8" s="817"/>
      <c r="D8" s="431" t="s">
        <v>24</v>
      </c>
      <c r="E8" s="225">
        <f t="shared" ref="E8:E46" si="3">SUM(F8:L8)</f>
        <v>267376.82304686279</v>
      </c>
      <c r="F8" s="225">
        <f>F12+F24+F36+F40+F44</f>
        <v>12776.7727</v>
      </c>
      <c r="G8" s="225">
        <f t="shared" ref="G8:I8" si="4">G12+G24+G36+G40+G44</f>
        <v>69903.157279999999</v>
      </c>
      <c r="H8" s="225">
        <f>H12+H24+H36+H40+H44</f>
        <v>62997.417956862824</v>
      </c>
      <c r="I8" s="225">
        <f t="shared" si="4"/>
        <v>11725.551149999999</v>
      </c>
      <c r="J8" s="225">
        <f>J12+J24+J36+J40+J44+J48</f>
        <v>109973.92396</v>
      </c>
      <c r="K8" s="225">
        <f>K12+K24+K36+K40+K44+K48</f>
        <v>0</v>
      </c>
      <c r="L8" s="760">
        <f>L12+L24+L36+L40+L44+L48</f>
        <v>0</v>
      </c>
      <c r="M8" s="225">
        <f>M12+M24+M36+M40+M44+M48</f>
        <v>0</v>
      </c>
    </row>
    <row r="9" spans="1:15" ht="19.95" customHeight="1">
      <c r="A9" s="815"/>
      <c r="B9" s="833"/>
      <c r="C9" s="817"/>
      <c r="D9" s="431" t="s">
        <v>10</v>
      </c>
      <c r="E9" s="225">
        <f t="shared" si="3"/>
        <v>99783.804544400016</v>
      </c>
      <c r="F9" s="225">
        <f t="shared" ref="F9:I10" si="5">F13+F25+F37+F41+F45</f>
        <v>2077.69472</v>
      </c>
      <c r="G9" s="225">
        <f t="shared" si="5"/>
        <v>1774.45047</v>
      </c>
      <c r="H9" s="225">
        <f t="shared" si="5"/>
        <v>1324.0636744000108</v>
      </c>
      <c r="I9" s="225">
        <f t="shared" si="5"/>
        <v>841.2367999999999</v>
      </c>
      <c r="J9" s="225">
        <f t="shared" ref="J9:K10" si="6">J13+J25+J37+J41+J45+J49</f>
        <v>604.15364</v>
      </c>
      <c r="K9" s="225">
        <f t="shared" si="6"/>
        <v>92581.102620000005</v>
      </c>
      <c r="L9" s="760">
        <f t="shared" ref="L9:M9" si="7">L13+L25+L37+L41+L45+L49</f>
        <v>581.10262</v>
      </c>
      <c r="M9" s="225">
        <f t="shared" si="7"/>
        <v>581.10262</v>
      </c>
    </row>
    <row r="10" spans="1:15" ht="19.95" customHeight="1" thickBot="1">
      <c r="A10" s="832"/>
      <c r="B10" s="834"/>
      <c r="C10" s="835"/>
      <c r="D10" s="480" t="s">
        <v>11</v>
      </c>
      <c r="E10" s="469">
        <f t="shared" si="3"/>
        <v>40717.790300737171</v>
      </c>
      <c r="F10" s="469">
        <f t="shared" si="5"/>
        <v>1170.209012</v>
      </c>
      <c r="G10" s="225">
        <f t="shared" si="5"/>
        <v>259.45176000000038</v>
      </c>
      <c r="H10" s="225">
        <f t="shared" si="5"/>
        <v>1016.6696587371655</v>
      </c>
      <c r="I10" s="225">
        <f>I14+I26+I38+I42+I46+I50</f>
        <v>22789.577960000002</v>
      </c>
      <c r="J10" s="225">
        <f t="shared" si="6"/>
        <v>14713.88983</v>
      </c>
      <c r="K10" s="225">
        <f t="shared" si="6"/>
        <v>709.88182000000006</v>
      </c>
      <c r="L10" s="760">
        <f t="shared" ref="L10:M10" si="8">L14+L26+L38+L42+L46+L50</f>
        <v>58.110259999999997</v>
      </c>
      <c r="M10" s="225">
        <f t="shared" si="8"/>
        <v>58.110259999999997</v>
      </c>
    </row>
    <row r="11" spans="1:15" ht="30.75" customHeight="1">
      <c r="A11" s="836" t="s">
        <v>3</v>
      </c>
      <c r="B11" s="830" t="s">
        <v>210</v>
      </c>
      <c r="C11" s="816" t="s">
        <v>1197</v>
      </c>
      <c r="D11" s="481" t="s">
        <v>20</v>
      </c>
      <c r="E11" s="482">
        <f t="shared" si="3"/>
        <v>13347.42887</v>
      </c>
      <c r="F11" s="474">
        <f>SUM(F12:F14)</f>
        <v>13347.42887</v>
      </c>
      <c r="G11" s="468">
        <f t="shared" ref="G11:L11" si="9">SUM(G12:G14)</f>
        <v>0</v>
      </c>
      <c r="H11" s="127">
        <f t="shared" si="9"/>
        <v>0</v>
      </c>
      <c r="I11" s="127">
        <f t="shared" si="9"/>
        <v>0</v>
      </c>
      <c r="J11" s="127">
        <f t="shared" si="9"/>
        <v>0</v>
      </c>
      <c r="K11" s="127">
        <f t="shared" si="9"/>
        <v>0</v>
      </c>
      <c r="L11" s="490">
        <f t="shared" si="9"/>
        <v>0</v>
      </c>
      <c r="M11" s="127">
        <f t="shared" ref="M11" si="10">SUM(M12:M14)</f>
        <v>0</v>
      </c>
    </row>
    <row r="12" spans="1:15" ht="30.75" customHeight="1">
      <c r="A12" s="837"/>
      <c r="B12" s="820"/>
      <c r="C12" s="817"/>
      <c r="D12" s="431" t="s">
        <v>24</v>
      </c>
      <c r="E12" s="225">
        <f t="shared" si="3"/>
        <v>11799.575699999999</v>
      </c>
      <c r="F12" s="476">
        <f t="shared" ref="F12:L12" si="11">F16+F20</f>
        <v>11799.575699999999</v>
      </c>
      <c r="G12" s="468">
        <f t="shared" si="11"/>
        <v>0</v>
      </c>
      <c r="H12" s="127">
        <f t="shared" si="11"/>
        <v>0</v>
      </c>
      <c r="I12" s="127">
        <f t="shared" si="11"/>
        <v>0</v>
      </c>
      <c r="J12" s="127">
        <f t="shared" si="11"/>
        <v>0</v>
      </c>
      <c r="K12" s="127">
        <f t="shared" si="11"/>
        <v>0</v>
      </c>
      <c r="L12" s="490">
        <f t="shared" si="11"/>
        <v>0</v>
      </c>
      <c r="M12" s="127">
        <f t="shared" ref="M12" si="12">M16+M20</f>
        <v>0</v>
      </c>
    </row>
    <row r="13" spans="1:15" ht="30.75" customHeight="1">
      <c r="A13" s="837"/>
      <c r="B13" s="820"/>
      <c r="C13" s="817"/>
      <c r="D13" s="431" t="s">
        <v>10</v>
      </c>
      <c r="E13" s="225">
        <f t="shared" si="3"/>
        <v>621.03030000000001</v>
      </c>
      <c r="F13" s="476">
        <f>F17+F21</f>
        <v>621.03030000000001</v>
      </c>
      <c r="G13" s="468">
        <f t="shared" ref="G13:L13" si="13">G17+G21</f>
        <v>0</v>
      </c>
      <c r="H13" s="127">
        <f t="shared" si="13"/>
        <v>0</v>
      </c>
      <c r="I13" s="127">
        <f t="shared" si="13"/>
        <v>0</v>
      </c>
      <c r="J13" s="127">
        <f t="shared" si="13"/>
        <v>0</v>
      </c>
      <c r="K13" s="127">
        <f t="shared" si="13"/>
        <v>0</v>
      </c>
      <c r="L13" s="490">
        <f t="shared" si="13"/>
        <v>0</v>
      </c>
      <c r="M13" s="127">
        <f t="shared" ref="M13" si="14">M17+M21</f>
        <v>0</v>
      </c>
    </row>
    <row r="14" spans="1:15" ht="30.75" customHeight="1">
      <c r="A14" s="837"/>
      <c r="B14" s="820"/>
      <c r="C14" s="817"/>
      <c r="D14" s="431" t="s">
        <v>11</v>
      </c>
      <c r="E14" s="225">
        <f t="shared" si="3"/>
        <v>926.82287000000008</v>
      </c>
      <c r="F14" s="476">
        <f>F18+F22</f>
        <v>926.82287000000008</v>
      </c>
      <c r="G14" s="468">
        <f t="shared" ref="G14:L14" si="15">G18+G22</f>
        <v>0</v>
      </c>
      <c r="H14" s="127">
        <f t="shared" si="15"/>
        <v>0</v>
      </c>
      <c r="I14" s="127">
        <f t="shared" si="15"/>
        <v>0</v>
      </c>
      <c r="J14" s="127">
        <f t="shared" si="15"/>
        <v>0</v>
      </c>
      <c r="K14" s="127">
        <f t="shared" si="15"/>
        <v>0</v>
      </c>
      <c r="L14" s="490">
        <f t="shared" si="15"/>
        <v>0</v>
      </c>
      <c r="M14" s="127">
        <f t="shared" ref="M14" si="16">M18+M22</f>
        <v>0</v>
      </c>
      <c r="N14" s="17"/>
    </row>
    <row r="15" spans="1:15" ht="19.95" customHeight="1">
      <c r="A15" s="824" t="s">
        <v>25</v>
      </c>
      <c r="B15" s="822" t="s">
        <v>407</v>
      </c>
      <c r="C15" s="818" t="s">
        <v>1197</v>
      </c>
      <c r="D15" s="431" t="s">
        <v>20</v>
      </c>
      <c r="E15" s="225">
        <f t="shared" si="3"/>
        <v>9163.1461199999994</v>
      </c>
      <c r="F15" s="458">
        <f>SUM(F16:F18)</f>
        <v>9163.1461199999994</v>
      </c>
      <c r="G15" s="456">
        <f t="shared" ref="G15:L15" si="17">SUM(G16:G18)</f>
        <v>0</v>
      </c>
      <c r="H15" s="92">
        <f t="shared" si="17"/>
        <v>0</v>
      </c>
      <c r="I15" s="92">
        <f t="shared" si="17"/>
        <v>0</v>
      </c>
      <c r="J15" s="92">
        <f t="shared" si="17"/>
        <v>0</v>
      </c>
      <c r="K15" s="92">
        <f t="shared" si="17"/>
        <v>0</v>
      </c>
      <c r="L15" s="463">
        <f t="shared" si="17"/>
        <v>0</v>
      </c>
      <c r="M15" s="92">
        <f t="shared" ref="M15" si="18">SUM(M16:M18)</f>
        <v>0</v>
      </c>
    </row>
    <row r="16" spans="1:15" ht="19.95" customHeight="1">
      <c r="A16" s="824"/>
      <c r="B16" s="822"/>
      <c r="C16" s="818"/>
      <c r="D16" s="39" t="s">
        <v>24</v>
      </c>
      <c r="E16" s="225">
        <f t="shared" si="3"/>
        <v>7874.5474999999997</v>
      </c>
      <c r="F16" s="483">
        <v>7874.5474999999997</v>
      </c>
      <c r="G16" s="457">
        <v>0</v>
      </c>
      <c r="H16" s="93">
        <v>0</v>
      </c>
      <c r="I16" s="93">
        <v>0</v>
      </c>
      <c r="J16" s="93">
        <v>0</v>
      </c>
      <c r="K16" s="93">
        <v>0</v>
      </c>
      <c r="L16" s="761">
        <v>0</v>
      </c>
      <c r="M16" s="93">
        <v>0</v>
      </c>
      <c r="O16" s="18"/>
    </row>
    <row r="17" spans="1:15" ht="19.95" customHeight="1">
      <c r="A17" s="824"/>
      <c r="B17" s="822"/>
      <c r="C17" s="818"/>
      <c r="D17" s="39" t="s">
        <v>10</v>
      </c>
      <c r="E17" s="225">
        <f t="shared" si="3"/>
        <v>414.44986</v>
      </c>
      <c r="F17" s="483">
        <v>414.44986</v>
      </c>
      <c r="G17" s="457">
        <v>0</v>
      </c>
      <c r="H17" s="93">
        <v>0</v>
      </c>
      <c r="I17" s="93">
        <v>0</v>
      </c>
      <c r="J17" s="93">
        <v>0</v>
      </c>
      <c r="K17" s="93">
        <v>0</v>
      </c>
      <c r="L17" s="761">
        <v>0</v>
      </c>
      <c r="M17" s="93">
        <v>0</v>
      </c>
      <c r="O17" s="18"/>
    </row>
    <row r="18" spans="1:15" ht="19.95" customHeight="1">
      <c r="A18" s="824"/>
      <c r="B18" s="822"/>
      <c r="C18" s="818"/>
      <c r="D18" s="39" t="s">
        <v>11</v>
      </c>
      <c r="E18" s="225">
        <f t="shared" si="3"/>
        <v>874.14876000000004</v>
      </c>
      <c r="F18" s="459">
        <v>874.14876000000004</v>
      </c>
      <c r="G18" s="457">
        <v>0</v>
      </c>
      <c r="H18" s="93">
        <v>0</v>
      </c>
      <c r="I18" s="93">
        <v>0</v>
      </c>
      <c r="J18" s="93">
        <v>0</v>
      </c>
      <c r="K18" s="93">
        <v>0</v>
      </c>
      <c r="L18" s="761">
        <v>0</v>
      </c>
      <c r="M18" s="93">
        <v>0</v>
      </c>
    </row>
    <row r="19" spans="1:15" ht="19.95" customHeight="1">
      <c r="A19" s="824" t="s">
        <v>21</v>
      </c>
      <c r="B19" s="822" t="s">
        <v>178</v>
      </c>
      <c r="C19" s="818" t="s">
        <v>1197</v>
      </c>
      <c r="D19" s="431" t="s">
        <v>20</v>
      </c>
      <c r="E19" s="225">
        <f t="shared" si="3"/>
        <v>4184.2827500000003</v>
      </c>
      <c r="F19" s="458">
        <f>SUM(F20:F22)</f>
        <v>4184.2827500000003</v>
      </c>
      <c r="G19" s="456">
        <f t="shared" ref="G19:L19" si="19">SUM(G20:G22)</f>
        <v>0</v>
      </c>
      <c r="H19" s="92">
        <f t="shared" si="19"/>
        <v>0</v>
      </c>
      <c r="I19" s="92">
        <f t="shared" si="19"/>
        <v>0</v>
      </c>
      <c r="J19" s="92">
        <f t="shared" si="19"/>
        <v>0</v>
      </c>
      <c r="K19" s="92">
        <f t="shared" si="19"/>
        <v>0</v>
      </c>
      <c r="L19" s="463">
        <f t="shared" si="19"/>
        <v>0</v>
      </c>
      <c r="M19" s="92">
        <f t="shared" ref="M19" si="20">SUM(M20:M22)</f>
        <v>0</v>
      </c>
    </row>
    <row r="20" spans="1:15" ht="19.95" customHeight="1">
      <c r="A20" s="824"/>
      <c r="B20" s="822"/>
      <c r="C20" s="818"/>
      <c r="D20" s="39" t="s">
        <v>24</v>
      </c>
      <c r="E20" s="225">
        <f t="shared" si="3"/>
        <v>3925.0282000000002</v>
      </c>
      <c r="F20" s="483">
        <v>3925.0282000000002</v>
      </c>
      <c r="G20" s="484">
        <v>0</v>
      </c>
      <c r="H20" s="454">
        <v>0</v>
      </c>
      <c r="I20" s="454">
        <v>0</v>
      </c>
      <c r="J20" s="454">
        <v>0</v>
      </c>
      <c r="K20" s="454">
        <v>0</v>
      </c>
      <c r="L20" s="492">
        <v>0</v>
      </c>
      <c r="M20" s="454">
        <v>0</v>
      </c>
    </row>
    <row r="21" spans="1:15" ht="19.95" customHeight="1">
      <c r="A21" s="824"/>
      <c r="B21" s="822"/>
      <c r="C21" s="818"/>
      <c r="D21" s="39" t="s">
        <v>10</v>
      </c>
      <c r="E21" s="225">
        <f t="shared" si="3"/>
        <v>206.58044000000001</v>
      </c>
      <c r="F21" s="483">
        <v>206.58044000000001</v>
      </c>
      <c r="G21" s="484">
        <v>0</v>
      </c>
      <c r="H21" s="454">
        <v>0</v>
      </c>
      <c r="I21" s="454">
        <v>0</v>
      </c>
      <c r="J21" s="454">
        <v>0</v>
      </c>
      <c r="K21" s="454">
        <v>0</v>
      </c>
      <c r="L21" s="492">
        <v>0</v>
      </c>
      <c r="M21" s="454">
        <v>0</v>
      </c>
    </row>
    <row r="22" spans="1:15" ht="19.95" customHeight="1" thickBot="1">
      <c r="A22" s="825"/>
      <c r="B22" s="826"/>
      <c r="C22" s="827"/>
      <c r="D22" s="460" t="s">
        <v>11</v>
      </c>
      <c r="E22" s="461">
        <f t="shared" si="3"/>
        <v>52.674109999999999</v>
      </c>
      <c r="F22" s="462">
        <v>52.674109999999999</v>
      </c>
      <c r="G22" s="485">
        <v>0</v>
      </c>
      <c r="H22" s="486">
        <v>0</v>
      </c>
      <c r="I22" s="486">
        <v>0</v>
      </c>
      <c r="J22" s="486">
        <v>0</v>
      </c>
      <c r="K22" s="486">
        <v>0</v>
      </c>
      <c r="L22" s="762">
        <v>0</v>
      </c>
      <c r="M22" s="486">
        <v>0</v>
      </c>
    </row>
    <row r="23" spans="1:15" ht="25.2" customHeight="1">
      <c r="A23" s="828" t="s">
        <v>48</v>
      </c>
      <c r="B23" s="829" t="s">
        <v>657</v>
      </c>
      <c r="C23" s="823" t="s">
        <v>1197</v>
      </c>
      <c r="D23" s="487" t="s">
        <v>20</v>
      </c>
      <c r="E23" s="471">
        <f t="shared" si="3"/>
        <v>54397.336860000003</v>
      </c>
      <c r="F23" s="488">
        <f>SUM(F24:F26)</f>
        <v>0</v>
      </c>
      <c r="G23" s="489">
        <f t="shared" ref="G23:L23" si="21">SUM(G24:G26)</f>
        <v>16079.861509999999</v>
      </c>
      <c r="H23" s="473">
        <f t="shared" si="21"/>
        <v>13749.644999999999</v>
      </c>
      <c r="I23" s="473">
        <f t="shared" si="21"/>
        <v>12650.911630000001</v>
      </c>
      <c r="J23" s="473">
        <f t="shared" si="21"/>
        <v>10638.492960000001</v>
      </c>
      <c r="K23" s="473">
        <f t="shared" si="21"/>
        <v>639.21288000000004</v>
      </c>
      <c r="L23" s="763">
        <f t="shared" si="21"/>
        <v>639.21288000000004</v>
      </c>
      <c r="M23" s="474">
        <f t="shared" ref="M23" si="22">SUM(M24:M26)</f>
        <v>639.21288000000004</v>
      </c>
    </row>
    <row r="24" spans="1:15" ht="25.2" customHeight="1">
      <c r="A24" s="819"/>
      <c r="B24" s="820"/>
      <c r="C24" s="817"/>
      <c r="D24" s="431" t="s">
        <v>24</v>
      </c>
      <c r="E24" s="225">
        <f t="shared" si="3"/>
        <v>49266.150346862822</v>
      </c>
      <c r="F24" s="490">
        <f t="shared" ref="F24:L25" si="23">F28+F32</f>
        <v>0</v>
      </c>
      <c r="G24" s="491">
        <f t="shared" si="23"/>
        <v>15903.157279999999</v>
      </c>
      <c r="H24" s="127">
        <f t="shared" si="23"/>
        <v>11663.517956862823</v>
      </c>
      <c r="I24" s="127">
        <f t="shared" si="23"/>
        <v>11725.551149999999</v>
      </c>
      <c r="J24" s="127">
        <f t="shared" si="23"/>
        <v>9973.9239600000001</v>
      </c>
      <c r="K24" s="127">
        <f t="shared" si="23"/>
        <v>0</v>
      </c>
      <c r="L24" s="490">
        <f t="shared" si="23"/>
        <v>0</v>
      </c>
      <c r="M24" s="476">
        <f t="shared" ref="M24" si="24">M28+M32</f>
        <v>0</v>
      </c>
    </row>
    <row r="25" spans="1:15" ht="25.2" customHeight="1">
      <c r="A25" s="819"/>
      <c r="B25" s="820"/>
      <c r="C25" s="817"/>
      <c r="D25" s="431" t="s">
        <v>10</v>
      </c>
      <c r="E25" s="225">
        <f t="shared" si="3"/>
        <v>4092.2989244000109</v>
      </c>
      <c r="F25" s="490">
        <f t="shared" si="23"/>
        <v>0</v>
      </c>
      <c r="G25" s="491">
        <f t="shared" si="23"/>
        <v>160.63956999999999</v>
      </c>
      <c r="H25" s="127">
        <f t="shared" si="23"/>
        <v>1324.0636744000108</v>
      </c>
      <c r="I25" s="127">
        <f t="shared" si="23"/>
        <v>841.2367999999999</v>
      </c>
      <c r="J25" s="127">
        <f t="shared" si="23"/>
        <v>604.15364</v>
      </c>
      <c r="K25" s="127">
        <f t="shared" si="23"/>
        <v>581.10262</v>
      </c>
      <c r="L25" s="490">
        <f t="shared" si="23"/>
        <v>581.10262</v>
      </c>
      <c r="M25" s="476">
        <f t="shared" ref="M25" si="25">M29+M33</f>
        <v>581.10262</v>
      </c>
    </row>
    <row r="26" spans="1:15" ht="25.2" customHeight="1">
      <c r="A26" s="819"/>
      <c r="B26" s="820"/>
      <c r="C26" s="817"/>
      <c r="D26" s="431" t="s">
        <v>11</v>
      </c>
      <c r="E26" s="225">
        <f t="shared" si="3"/>
        <v>1038.887588737166</v>
      </c>
      <c r="F26" s="490">
        <f>F30+F34</f>
        <v>0</v>
      </c>
      <c r="G26" s="491">
        <f t="shared" ref="G26:L26" si="26">G30+G34</f>
        <v>16.064660000000487</v>
      </c>
      <c r="H26" s="127">
        <f t="shared" si="26"/>
        <v>762.06336873716543</v>
      </c>
      <c r="I26" s="127">
        <f>I30+I34</f>
        <v>84.123680000000007</v>
      </c>
      <c r="J26" s="127">
        <f t="shared" si="26"/>
        <v>60.41536</v>
      </c>
      <c r="K26" s="127">
        <f t="shared" si="26"/>
        <v>58.110259999999997</v>
      </c>
      <c r="L26" s="490">
        <f t="shared" si="26"/>
        <v>58.110259999999997</v>
      </c>
      <c r="M26" s="476">
        <f t="shared" ref="M26" si="27">M30+M34</f>
        <v>58.110259999999997</v>
      </c>
      <c r="N26" s="17"/>
    </row>
    <row r="27" spans="1:15" ht="19.2" customHeight="1">
      <c r="A27" s="821" t="s">
        <v>55</v>
      </c>
      <c r="B27" s="822" t="s">
        <v>407</v>
      </c>
      <c r="C27" s="818" t="s">
        <v>1197</v>
      </c>
      <c r="D27" s="431" t="s">
        <v>20</v>
      </c>
      <c r="E27" s="225">
        <f t="shared" si="3"/>
        <v>27440.106520000001</v>
      </c>
      <c r="F27" s="463">
        <f t="shared" ref="F27:L27" si="28">F28+F29+F30</f>
        <v>0</v>
      </c>
      <c r="G27" s="465">
        <f t="shared" si="28"/>
        <v>9529.7259999999987</v>
      </c>
      <c r="H27" s="92">
        <f t="shared" si="28"/>
        <v>6609.5020000000004</v>
      </c>
      <c r="I27" s="92">
        <f t="shared" si="28"/>
        <v>6439.3270000000011</v>
      </c>
      <c r="J27" s="92">
        <f t="shared" si="28"/>
        <v>4441.3580000000002</v>
      </c>
      <c r="K27" s="92">
        <f t="shared" si="28"/>
        <v>210.09676000000002</v>
      </c>
      <c r="L27" s="463">
        <f t="shared" si="28"/>
        <v>210.09676000000002</v>
      </c>
      <c r="M27" s="458">
        <f t="shared" ref="M27" si="29">M28+M29+M30</f>
        <v>210.09676000000002</v>
      </c>
    </row>
    <row r="28" spans="1:15" ht="19.2" customHeight="1">
      <c r="A28" s="821"/>
      <c r="B28" s="822"/>
      <c r="C28" s="818"/>
      <c r="D28" s="39" t="s">
        <v>24</v>
      </c>
      <c r="E28" s="225">
        <f t="shared" si="3"/>
        <v>24882.838396862822</v>
      </c>
      <c r="F28" s="492">
        <v>0</v>
      </c>
      <c r="G28" s="466">
        <f>'прил.3.1 Подп.1  2019г '!G15</f>
        <v>9425.0034799999994</v>
      </c>
      <c r="H28" s="93">
        <f>'прил.3.2 Подп.1 2020г '!G15</f>
        <v>5325.6036168628234</v>
      </c>
      <c r="I28" s="93">
        <f>'прил.3.3 Подп.1 2021г'!G17</f>
        <v>5968.3175600000004</v>
      </c>
      <c r="J28" s="93">
        <f>'прил.3.4 Подп.1  2022г '!G17</f>
        <v>4163.91374</v>
      </c>
      <c r="K28" s="93">
        <f>'прил.3.5 Подп.1  2023г '!G15</f>
        <v>0</v>
      </c>
      <c r="L28" s="761">
        <f>'прил.3.6 Подп.1  2024г '!G15</f>
        <v>0</v>
      </c>
      <c r="M28" s="774">
        <f>'прил.3.7 Подп.1 2025г'!G15</f>
        <v>0</v>
      </c>
      <c r="O28" s="18"/>
    </row>
    <row r="29" spans="1:15" ht="19.2" customHeight="1">
      <c r="A29" s="821"/>
      <c r="B29" s="822"/>
      <c r="C29" s="818"/>
      <c r="D29" s="39" t="s">
        <v>10</v>
      </c>
      <c r="E29" s="225">
        <f t="shared" si="3"/>
        <v>1762.1809644000109</v>
      </c>
      <c r="F29" s="492">
        <v>0</v>
      </c>
      <c r="G29" s="466">
        <f>'прил.3.1 Подп.1  2019г '!G16</f>
        <v>95.202219999999997</v>
      </c>
      <c r="H29" s="93">
        <f>'прил.3.2 Подп.1 2020г '!G16</f>
        <v>604.57216440001093</v>
      </c>
      <c r="I29" s="93">
        <f>'прил.3.3 Подп.1 2021г'!G18</f>
        <v>428.19039999999995</v>
      </c>
      <c r="J29" s="93">
        <f>'прил.3.4 Подп.1  2022г '!G18</f>
        <v>252.22206</v>
      </c>
      <c r="K29" s="93">
        <f>'прил.3.5 Подп.1  2023г '!G16</f>
        <v>190.99706</v>
      </c>
      <c r="L29" s="761">
        <f>'прил.3.6 Подп.1  2024г '!G16</f>
        <v>190.99706</v>
      </c>
      <c r="M29" s="774">
        <f>'прил.3.7 Подп.1 2025г'!G16</f>
        <v>190.99706</v>
      </c>
      <c r="O29" s="18"/>
    </row>
    <row r="30" spans="1:15" ht="19.2" customHeight="1">
      <c r="A30" s="821"/>
      <c r="B30" s="822"/>
      <c r="C30" s="818"/>
      <c r="D30" s="39" t="s">
        <v>11</v>
      </c>
      <c r="E30" s="225">
        <f t="shared" si="3"/>
        <v>795.08715873716608</v>
      </c>
      <c r="F30" s="464">
        <v>0</v>
      </c>
      <c r="G30" s="466">
        <f>'прил.3.1 Подп.1  2019г '!G17</f>
        <v>9.5203000000004856</v>
      </c>
      <c r="H30" s="93">
        <f>'прил.3.2 Подп.1 2020г '!G17</f>
        <v>679.32621873716562</v>
      </c>
      <c r="I30" s="93">
        <f>'прил.3.3 Подп.1 2021г'!G19</f>
        <v>42.819040000000001</v>
      </c>
      <c r="J30" s="93">
        <f>'прил.3.4 Подп.1  2022г '!G19</f>
        <v>25.222200000000001</v>
      </c>
      <c r="K30" s="93">
        <f>'прил.3.5 Подп.1  2023г '!G17</f>
        <v>19.099699999999999</v>
      </c>
      <c r="L30" s="761">
        <f>'прил.3.6 Подп.1  2024г '!G17</f>
        <v>19.099699999999999</v>
      </c>
      <c r="M30" s="774">
        <f>'прил.3.7 Подп.1 2025г'!G17</f>
        <v>19.099699999999999</v>
      </c>
    </row>
    <row r="31" spans="1:15" ht="19.2" customHeight="1">
      <c r="A31" s="821" t="s">
        <v>216</v>
      </c>
      <c r="B31" s="822" t="s">
        <v>178</v>
      </c>
      <c r="C31" s="818" t="s">
        <v>1197</v>
      </c>
      <c r="D31" s="431" t="s">
        <v>20</v>
      </c>
      <c r="E31" s="225">
        <f t="shared" si="3"/>
        <v>26957.230339999998</v>
      </c>
      <c r="F31" s="463">
        <f>F32+F33+F34</f>
        <v>0</v>
      </c>
      <c r="G31" s="465">
        <f t="shared" ref="G31:M31" si="30">G32+G33+G34</f>
        <v>6550.1355100000001</v>
      </c>
      <c r="H31" s="92">
        <f t="shared" si="30"/>
        <v>7140.143</v>
      </c>
      <c r="I31" s="92">
        <f t="shared" si="30"/>
        <v>6211.5846299999994</v>
      </c>
      <c r="J31" s="92">
        <f t="shared" si="30"/>
        <v>6197.1349600000003</v>
      </c>
      <c r="K31" s="92">
        <f t="shared" si="30"/>
        <v>429.11612000000002</v>
      </c>
      <c r="L31" s="463">
        <f t="shared" si="30"/>
        <v>429.11612000000002</v>
      </c>
      <c r="M31" s="458">
        <f t="shared" si="30"/>
        <v>429.11612000000002</v>
      </c>
    </row>
    <row r="32" spans="1:15" ht="19.2" customHeight="1">
      <c r="A32" s="821"/>
      <c r="B32" s="822"/>
      <c r="C32" s="818"/>
      <c r="D32" s="39" t="s">
        <v>24</v>
      </c>
      <c r="E32" s="225">
        <f t="shared" si="3"/>
        <v>24383.311949999999</v>
      </c>
      <c r="F32" s="492">
        <v>0</v>
      </c>
      <c r="G32" s="493">
        <f>'прил.3.1 Подп.1  2019г '!G39</f>
        <v>6478.1538</v>
      </c>
      <c r="H32" s="454">
        <f>'прил.3.2 Подп.1 2020г '!G27</f>
        <v>6337.9143400000003</v>
      </c>
      <c r="I32" s="454">
        <f>'прил.3.3 Подп.1 2021г'!G32</f>
        <v>5757.2335899999989</v>
      </c>
      <c r="J32" s="454">
        <f>'прил.3.4 Подп.1  2022г '!G43</f>
        <v>5810.0102200000001</v>
      </c>
      <c r="K32" s="454">
        <f>'прил.3.5 Подп.1  2023г '!G39</f>
        <v>0</v>
      </c>
      <c r="L32" s="492">
        <f>'прил.3.6 Подп.1  2024г '!G39</f>
        <v>0</v>
      </c>
      <c r="M32" s="774">
        <f>'прил.3.7 Подп.1 2025г'!G39</f>
        <v>0</v>
      </c>
    </row>
    <row r="33" spans="1:14" ht="19.2" customHeight="1">
      <c r="A33" s="821"/>
      <c r="B33" s="822"/>
      <c r="C33" s="818"/>
      <c r="D33" s="39" t="s">
        <v>10</v>
      </c>
      <c r="E33" s="225">
        <f t="shared" si="3"/>
        <v>2330.11796</v>
      </c>
      <c r="F33" s="492">
        <v>0</v>
      </c>
      <c r="G33" s="493">
        <f>'прил.3.1 Подп.1  2019г '!G40</f>
        <v>65.437349999999995</v>
      </c>
      <c r="H33" s="454">
        <f>'прил.3.2 Подп.1 2020г '!G28</f>
        <v>719.49150999999995</v>
      </c>
      <c r="I33" s="454">
        <f>'прил.3.3 Подп.1 2021г'!G33</f>
        <v>413.04640000000001</v>
      </c>
      <c r="J33" s="454">
        <f>'прил.3.4 Подп.1  2022г '!G44</f>
        <v>351.93158</v>
      </c>
      <c r="K33" s="454">
        <f>'прил.3.5 Подп.1  2023г '!G40</f>
        <v>390.10556000000003</v>
      </c>
      <c r="L33" s="492">
        <f>'прил.3.6 Подп.1  2024г '!G40</f>
        <v>390.10556000000003</v>
      </c>
      <c r="M33" s="774">
        <f>'прил.3.7 Подп.1 2025г'!G40</f>
        <v>390.10556000000003</v>
      </c>
    </row>
    <row r="34" spans="1:14" ht="19.2" customHeight="1" thickBot="1">
      <c r="A34" s="821"/>
      <c r="B34" s="822"/>
      <c r="C34" s="818"/>
      <c r="D34" s="39" t="s">
        <v>11</v>
      </c>
      <c r="E34" s="469">
        <f t="shared" si="3"/>
        <v>243.80042999999981</v>
      </c>
      <c r="F34" s="470">
        <v>0</v>
      </c>
      <c r="G34" s="768">
        <f>'прил.3.1 Подп.1  2019г '!G41</f>
        <v>6.5443600000000002</v>
      </c>
      <c r="H34" s="494">
        <f>'прил.3.2 Подп.1 2020г '!G29</f>
        <v>82.737149999999815</v>
      </c>
      <c r="I34" s="494">
        <f>'прил.3.3 Подп.1 2021г'!G39+'прил.3.3 Подп.1 2021г'!G44+'прил.3.3 Подп.1 2021г'!G49+'прил.3.3 Подп.1 2021г'!G54+'прил.3.3 Подп.1 2021г'!G59</f>
        <v>41.304639999999999</v>
      </c>
      <c r="J34" s="494">
        <f>'прил.3.4 Подп.1  2022г '!G45</f>
        <v>35.193159999999999</v>
      </c>
      <c r="K34" s="494">
        <f>'прил.3.5 Подп.1  2023г '!G41</f>
        <v>39.010559999999998</v>
      </c>
      <c r="L34" s="764">
        <f>'прил.3.6 Подп.1  2024г '!G41</f>
        <v>39.010559999999998</v>
      </c>
      <c r="M34" s="775">
        <f>'прил.3.7 Подп.1 2025г'!G41</f>
        <v>39.010559999999998</v>
      </c>
    </row>
    <row r="35" spans="1:14" s="355" customFormat="1" ht="24.6" customHeight="1">
      <c r="A35" s="819" t="s">
        <v>88</v>
      </c>
      <c r="B35" s="820" t="s">
        <v>211</v>
      </c>
      <c r="C35" s="817" t="s">
        <v>1199</v>
      </c>
      <c r="D35" s="467" t="s">
        <v>20</v>
      </c>
      <c r="E35" s="472">
        <f t="shared" si="3"/>
        <v>4534.4455619999999</v>
      </c>
      <c r="F35" s="473">
        <f>SUM(F36:F38)</f>
        <v>2677.247562</v>
      </c>
      <c r="G35" s="508">
        <f t="shared" ref="G35:K35" si="31">SUM(G36:G38)</f>
        <v>1857.1979999999999</v>
      </c>
      <c r="H35" s="489">
        <f t="shared" si="31"/>
        <v>0</v>
      </c>
      <c r="I35" s="473">
        <f t="shared" si="31"/>
        <v>0</v>
      </c>
      <c r="J35" s="473">
        <f t="shared" si="31"/>
        <v>0</v>
      </c>
      <c r="K35" s="473">
        <f t="shared" si="31"/>
        <v>0</v>
      </c>
      <c r="L35" s="763">
        <f>SUM(L36:L38)</f>
        <v>0</v>
      </c>
      <c r="M35" s="474">
        <f>SUM(M36:M38)</f>
        <v>0</v>
      </c>
    </row>
    <row r="36" spans="1:14" s="355" customFormat="1" ht="24.6" customHeight="1">
      <c r="A36" s="819"/>
      <c r="B36" s="820"/>
      <c r="C36" s="817"/>
      <c r="D36" s="467" t="s">
        <v>24</v>
      </c>
      <c r="E36" s="475">
        <f t="shared" si="3"/>
        <v>977.197</v>
      </c>
      <c r="F36" s="127">
        <v>977.197</v>
      </c>
      <c r="G36" s="476">
        <f>'прил.3.1 Подп.1  2019г '!G51</f>
        <v>0</v>
      </c>
      <c r="H36" s="491">
        <v>0</v>
      </c>
      <c r="I36" s="127">
        <v>0</v>
      </c>
      <c r="J36" s="127">
        <v>0</v>
      </c>
      <c r="K36" s="127">
        <v>0</v>
      </c>
      <c r="L36" s="490">
        <v>0</v>
      </c>
      <c r="M36" s="476">
        <v>0</v>
      </c>
    </row>
    <row r="37" spans="1:14" s="355" customFormat="1" ht="24.6" customHeight="1">
      <c r="A37" s="819"/>
      <c r="B37" s="820"/>
      <c r="C37" s="817"/>
      <c r="D37" s="467" t="s">
        <v>10</v>
      </c>
      <c r="E37" s="475">
        <f t="shared" si="3"/>
        <v>3070.47532</v>
      </c>
      <c r="F37" s="127">
        <v>1456.6644200000001</v>
      </c>
      <c r="G37" s="476">
        <f>'прил.3.1 Подп.1  2019г '!G52</f>
        <v>1613.8108999999999</v>
      </c>
      <c r="H37" s="491">
        <v>0</v>
      </c>
      <c r="I37" s="127">
        <v>0</v>
      </c>
      <c r="J37" s="127">
        <v>0</v>
      </c>
      <c r="K37" s="127">
        <v>0</v>
      </c>
      <c r="L37" s="490">
        <v>0</v>
      </c>
      <c r="M37" s="476">
        <v>0</v>
      </c>
    </row>
    <row r="38" spans="1:14" s="355" customFormat="1" ht="24.6" customHeight="1" thickBot="1">
      <c r="A38" s="819"/>
      <c r="B38" s="820"/>
      <c r="C38" s="817"/>
      <c r="D38" s="467" t="s">
        <v>11</v>
      </c>
      <c r="E38" s="477">
        <f t="shared" si="3"/>
        <v>486.77324199999998</v>
      </c>
      <c r="F38" s="478">
        <f>(F36+F37)*10%</f>
        <v>243.38614200000004</v>
      </c>
      <c r="G38" s="479">
        <f>'прил.3.1 Подп.1  2019г '!G53</f>
        <v>243.38709999999992</v>
      </c>
      <c r="H38" s="769">
        <v>0</v>
      </c>
      <c r="I38" s="478">
        <v>0</v>
      </c>
      <c r="J38" s="478">
        <v>0</v>
      </c>
      <c r="K38" s="478">
        <v>0</v>
      </c>
      <c r="L38" s="765">
        <v>0</v>
      </c>
      <c r="M38" s="479">
        <v>0</v>
      </c>
      <c r="N38" s="453"/>
    </row>
    <row r="39" spans="1:14" s="355" customFormat="1" ht="26.4" customHeight="1">
      <c r="A39" s="819" t="s">
        <v>92</v>
      </c>
      <c r="B39" s="820" t="s">
        <v>582</v>
      </c>
      <c r="C39" s="817" t="s">
        <v>1198</v>
      </c>
      <c r="D39" s="467" t="s">
        <v>20</v>
      </c>
      <c r="E39" s="472">
        <f t="shared" si="3"/>
        <v>315832.49832000001</v>
      </c>
      <c r="F39" s="473">
        <f>SUM(F40:F42)</f>
        <v>0</v>
      </c>
      <c r="G39" s="473">
        <f t="shared" ref="G39:L39" si="32">SUM(G40:G42)</f>
        <v>54000</v>
      </c>
      <c r="H39" s="473">
        <f t="shared" si="32"/>
        <v>51588.506290000005</v>
      </c>
      <c r="I39" s="473">
        <f t="shared" si="32"/>
        <v>2938.7460000000001</v>
      </c>
      <c r="J39" s="473">
        <f t="shared" si="32"/>
        <v>114653.47447</v>
      </c>
      <c r="K39" s="473">
        <f t="shared" si="32"/>
        <v>92651.771559999994</v>
      </c>
      <c r="L39" s="763">
        <f t="shared" si="32"/>
        <v>0</v>
      </c>
      <c r="M39" s="474">
        <f t="shared" ref="M39" si="33">SUM(M40:M42)</f>
        <v>0</v>
      </c>
    </row>
    <row r="40" spans="1:14" s="355" customFormat="1" ht="26.4" customHeight="1">
      <c r="A40" s="819"/>
      <c r="B40" s="820"/>
      <c r="C40" s="817"/>
      <c r="D40" s="467" t="s">
        <v>24</v>
      </c>
      <c r="E40" s="475">
        <f t="shared" si="3"/>
        <v>205333.9</v>
      </c>
      <c r="F40" s="127">
        <v>0</v>
      </c>
      <c r="G40" s="127">
        <f>'прил.3.1 Подп.1  2019г '!G67</f>
        <v>54000</v>
      </c>
      <c r="H40" s="127">
        <f>'прил.3.2 Подп.1 2020г '!G55</f>
        <v>51333.9</v>
      </c>
      <c r="I40" s="127">
        <v>0</v>
      </c>
      <c r="J40" s="127">
        <f>'прил.3.4 Подп.1  2022г '!G63</f>
        <v>100000</v>
      </c>
      <c r="K40" s="127">
        <v>0</v>
      </c>
      <c r="L40" s="490">
        <v>0</v>
      </c>
      <c r="M40" s="476">
        <v>0</v>
      </c>
    </row>
    <row r="41" spans="1:14" s="355" customFormat="1" ht="26.4" customHeight="1">
      <c r="A41" s="819"/>
      <c r="B41" s="820"/>
      <c r="C41" s="817"/>
      <c r="D41" s="467" t="s">
        <v>10</v>
      </c>
      <c r="E41" s="475">
        <f t="shared" si="3"/>
        <v>92000</v>
      </c>
      <c r="F41" s="127">
        <v>0</v>
      </c>
      <c r="G41" s="127">
        <v>0</v>
      </c>
      <c r="H41" s="127">
        <f>'прил.3.2 Подп.1 2020г '!G56</f>
        <v>0</v>
      </c>
      <c r="I41" s="127">
        <v>0</v>
      </c>
      <c r="J41" s="127">
        <f>'прил.3.4 Подп.1  2022г '!G64</f>
        <v>0</v>
      </c>
      <c r="K41" s="127">
        <f>'прил.3.5 Подп.1  2023г '!G52</f>
        <v>92000</v>
      </c>
      <c r="L41" s="490">
        <v>0</v>
      </c>
      <c r="M41" s="476">
        <v>0</v>
      </c>
    </row>
    <row r="42" spans="1:14" s="355" customFormat="1" ht="26.4" customHeight="1" thickBot="1">
      <c r="A42" s="819"/>
      <c r="B42" s="820"/>
      <c r="C42" s="817"/>
      <c r="D42" s="467" t="s">
        <v>11</v>
      </c>
      <c r="E42" s="770">
        <f t="shared" si="3"/>
        <v>18498.598320000001</v>
      </c>
      <c r="F42" s="771">
        <v>0</v>
      </c>
      <c r="G42" s="771">
        <f>'прил.3.1 Подп.1  2019г '!G69</f>
        <v>0</v>
      </c>
      <c r="H42" s="771">
        <f>'прил.3.2 Подп.1 2020г '!G57</f>
        <v>254.60629</v>
      </c>
      <c r="I42" s="771">
        <f>'прил.3.3 Подп.1 2021г'!G74</f>
        <v>2938.7460000000001</v>
      </c>
      <c r="J42" s="771">
        <f>'прил.3.4 Подп.1  2022г '!G65</f>
        <v>14653.474469999999</v>
      </c>
      <c r="K42" s="771">
        <f>'прил.3.5 Подп.1  2023г '!G53</f>
        <v>651.77156000000002</v>
      </c>
      <c r="L42" s="772">
        <f>'прил.3.6 Подп.1  2024г '!G53</f>
        <v>0</v>
      </c>
      <c r="M42" s="773">
        <f>'прил.3.6 Подп.1  2024г '!H53</f>
        <v>0</v>
      </c>
      <c r="N42" s="453"/>
    </row>
    <row r="43" spans="1:14" ht="16.8" customHeight="1">
      <c r="A43" s="813" t="s">
        <v>810</v>
      </c>
      <c r="B43" s="814" t="s">
        <v>981</v>
      </c>
      <c r="C43" s="815" t="s">
        <v>579</v>
      </c>
      <c r="D43" s="467" t="s">
        <v>20</v>
      </c>
      <c r="E43" s="472">
        <f t="shared" si="3"/>
        <v>560.18899999999996</v>
      </c>
      <c r="F43" s="495">
        <f>SUM(F44:F46)</f>
        <v>0</v>
      </c>
      <c r="G43" s="495">
        <f t="shared" ref="G43:L43" si="34">SUM(G44:G46)</f>
        <v>0</v>
      </c>
      <c r="H43" s="495">
        <f t="shared" si="34"/>
        <v>0</v>
      </c>
      <c r="I43" s="495">
        <f t="shared" si="34"/>
        <v>560.18899999999996</v>
      </c>
      <c r="J43" s="495">
        <f t="shared" si="34"/>
        <v>0</v>
      </c>
      <c r="K43" s="495">
        <f t="shared" si="34"/>
        <v>0</v>
      </c>
      <c r="L43" s="495">
        <f t="shared" si="34"/>
        <v>0</v>
      </c>
      <c r="M43" s="496">
        <v>0</v>
      </c>
    </row>
    <row r="44" spans="1:14" ht="16.8" customHeight="1">
      <c r="A44" s="813"/>
      <c r="B44" s="814"/>
      <c r="C44" s="815"/>
      <c r="D44" s="467" t="s">
        <v>24</v>
      </c>
      <c r="E44" s="475">
        <f t="shared" si="3"/>
        <v>0</v>
      </c>
      <c r="F44" s="455">
        <v>0</v>
      </c>
      <c r="G44" s="455">
        <v>0</v>
      </c>
      <c r="H44" s="455">
        <v>0</v>
      </c>
      <c r="I44" s="455">
        <v>0</v>
      </c>
      <c r="J44" s="455">
        <v>0</v>
      </c>
      <c r="K44" s="455">
        <v>0</v>
      </c>
      <c r="L44" s="455">
        <v>0</v>
      </c>
      <c r="M44" s="497">
        <v>0</v>
      </c>
    </row>
    <row r="45" spans="1:14" ht="16.8" customHeight="1">
      <c r="A45" s="813"/>
      <c r="B45" s="814"/>
      <c r="C45" s="815"/>
      <c r="D45" s="467" t="s">
        <v>10</v>
      </c>
      <c r="E45" s="475">
        <f t="shared" si="3"/>
        <v>0</v>
      </c>
      <c r="F45" s="455">
        <v>0</v>
      </c>
      <c r="G45" s="455">
        <v>0</v>
      </c>
      <c r="H45" s="455">
        <v>0</v>
      </c>
      <c r="I45" s="455">
        <v>0</v>
      </c>
      <c r="J45" s="455">
        <v>0</v>
      </c>
      <c r="K45" s="455">
        <v>0</v>
      </c>
      <c r="L45" s="455">
        <v>0</v>
      </c>
      <c r="M45" s="497">
        <v>0</v>
      </c>
    </row>
    <row r="46" spans="1:14" ht="16.8" customHeight="1" thickBot="1">
      <c r="A46" s="813"/>
      <c r="B46" s="814"/>
      <c r="C46" s="815"/>
      <c r="D46" s="467" t="s">
        <v>11</v>
      </c>
      <c r="E46" s="477">
        <f t="shared" si="3"/>
        <v>560.18899999999996</v>
      </c>
      <c r="F46" s="498">
        <v>0</v>
      </c>
      <c r="G46" s="498">
        <v>0</v>
      </c>
      <c r="H46" s="498">
        <v>0</v>
      </c>
      <c r="I46" s="498">
        <f>'прил.3.3 Подп.1 2021г'!G66</f>
        <v>560.18899999999996</v>
      </c>
      <c r="J46" s="498">
        <v>0</v>
      </c>
      <c r="K46" s="498">
        <v>0</v>
      </c>
      <c r="L46" s="498">
        <v>0</v>
      </c>
      <c r="M46" s="499">
        <v>0</v>
      </c>
    </row>
    <row r="47" spans="1:14" ht="16.8" customHeight="1">
      <c r="A47" s="813" t="s">
        <v>1059</v>
      </c>
      <c r="B47" s="814" t="s">
        <v>1040</v>
      </c>
      <c r="C47" s="815" t="s">
        <v>770</v>
      </c>
      <c r="D47" s="467" t="s">
        <v>20</v>
      </c>
      <c r="E47" s="472">
        <f t="shared" ref="E47:E49" si="35">SUM(F47:L47)</f>
        <v>19206.51928</v>
      </c>
      <c r="F47" s="495">
        <f>SUM(F48:F50)</f>
        <v>0</v>
      </c>
      <c r="G47" s="495">
        <f t="shared" ref="G47:L47" si="36">SUM(G48:G50)</f>
        <v>0</v>
      </c>
      <c r="H47" s="495">
        <f t="shared" si="36"/>
        <v>0</v>
      </c>
      <c r="I47" s="482">
        <f t="shared" si="36"/>
        <v>19206.51928</v>
      </c>
      <c r="J47" s="482">
        <f t="shared" si="36"/>
        <v>0</v>
      </c>
      <c r="K47" s="482">
        <f t="shared" si="36"/>
        <v>0</v>
      </c>
      <c r="L47" s="766">
        <f t="shared" si="36"/>
        <v>0</v>
      </c>
      <c r="M47" s="526">
        <f t="shared" ref="M47" si="37">SUM(M48:M50)</f>
        <v>0</v>
      </c>
    </row>
    <row r="48" spans="1:14" ht="16.8" customHeight="1">
      <c r="A48" s="813"/>
      <c r="B48" s="814"/>
      <c r="C48" s="815"/>
      <c r="D48" s="467" t="s">
        <v>24</v>
      </c>
      <c r="E48" s="475">
        <f t="shared" si="35"/>
        <v>0</v>
      </c>
      <c r="F48" s="455">
        <v>0</v>
      </c>
      <c r="G48" s="455">
        <v>0</v>
      </c>
      <c r="H48" s="455">
        <v>0</v>
      </c>
      <c r="I48" s="225">
        <v>0</v>
      </c>
      <c r="J48" s="225">
        <v>0</v>
      </c>
      <c r="K48" s="225">
        <v>0</v>
      </c>
      <c r="L48" s="760">
        <v>0</v>
      </c>
      <c r="M48" s="527">
        <v>0</v>
      </c>
    </row>
    <row r="49" spans="1:13" ht="16.8" customHeight="1">
      <c r="A49" s="813"/>
      <c r="B49" s="814"/>
      <c r="C49" s="815"/>
      <c r="D49" s="467" t="s">
        <v>10</v>
      </c>
      <c r="E49" s="475">
        <f t="shared" si="35"/>
        <v>0</v>
      </c>
      <c r="F49" s="455">
        <v>0</v>
      </c>
      <c r="G49" s="455">
        <v>0</v>
      </c>
      <c r="H49" s="455">
        <v>0</v>
      </c>
      <c r="I49" s="225">
        <v>0</v>
      </c>
      <c r="J49" s="225">
        <v>0</v>
      </c>
      <c r="K49" s="225">
        <v>0</v>
      </c>
      <c r="L49" s="760">
        <v>0</v>
      </c>
      <c r="M49" s="527">
        <v>0</v>
      </c>
    </row>
    <row r="50" spans="1:13" ht="16.8" customHeight="1" thickBot="1">
      <c r="A50" s="813"/>
      <c r="B50" s="814"/>
      <c r="C50" s="815"/>
      <c r="D50" s="467" t="s">
        <v>11</v>
      </c>
      <c r="E50" s="477">
        <v>0</v>
      </c>
      <c r="F50" s="498">
        <v>0</v>
      </c>
      <c r="G50" s="498">
        <v>0</v>
      </c>
      <c r="H50" s="498">
        <v>0</v>
      </c>
      <c r="I50" s="461">
        <f>'прил.3.3 Подп.1 2021г'!G50+'прил.3.3 Подп.1 2021г'!G55+'прил.3.3 Подп.1 2021г'!G60+'прил.3.3 Подп.1 2021г'!G65</f>
        <v>19206.51928</v>
      </c>
      <c r="J50" s="461">
        <f>'прил.3.4 Подп.1  2022г '!G115</f>
        <v>0</v>
      </c>
      <c r="K50" s="461">
        <v>0</v>
      </c>
      <c r="L50" s="767">
        <v>0</v>
      </c>
      <c r="M50" s="528">
        <v>0</v>
      </c>
    </row>
    <row r="51" spans="1:13">
      <c r="D51" s="20"/>
      <c r="E51" s="20"/>
      <c r="F51" s="20"/>
      <c r="G51" s="20"/>
      <c r="H51" s="20"/>
      <c r="I51" s="20"/>
      <c r="J51" s="20"/>
      <c r="K51" s="20"/>
      <c r="L51" s="20"/>
    </row>
    <row r="52" spans="1:13">
      <c r="D52" s="20"/>
      <c r="E52" s="20"/>
      <c r="F52" s="20"/>
      <c r="G52" s="20"/>
      <c r="H52" s="20"/>
      <c r="I52" s="20"/>
      <c r="J52" s="20"/>
      <c r="K52" s="20"/>
      <c r="L52" s="20"/>
    </row>
    <row r="53" spans="1:13">
      <c r="D53" s="20"/>
      <c r="E53" s="20"/>
      <c r="F53" s="20"/>
      <c r="G53" s="20"/>
      <c r="H53" s="20"/>
      <c r="I53" s="20"/>
      <c r="J53" s="20"/>
      <c r="K53" s="20"/>
      <c r="L53" s="20"/>
    </row>
    <row r="54" spans="1:13">
      <c r="D54" s="20"/>
      <c r="E54" s="20"/>
      <c r="F54" s="20"/>
      <c r="G54" s="20"/>
      <c r="H54" s="20"/>
      <c r="I54" s="20"/>
      <c r="J54" s="20"/>
      <c r="K54" s="20"/>
      <c r="L54" s="20"/>
    </row>
    <row r="55" spans="1:13">
      <c r="D55" s="20"/>
      <c r="E55" s="20"/>
      <c r="F55" s="20"/>
      <c r="G55" s="20"/>
      <c r="H55" s="20"/>
      <c r="I55" s="20"/>
      <c r="J55" s="20"/>
      <c r="K55" s="20"/>
      <c r="L55" s="20"/>
    </row>
    <row r="56" spans="1:13">
      <c r="D56" s="20"/>
      <c r="E56" s="20"/>
      <c r="F56" s="20"/>
      <c r="G56" s="20"/>
      <c r="H56" s="20"/>
      <c r="I56" s="20"/>
      <c r="J56" s="20"/>
      <c r="K56" s="20"/>
      <c r="L56" s="20"/>
    </row>
    <row r="57" spans="1:13">
      <c r="D57" s="20"/>
      <c r="E57" s="20"/>
      <c r="F57" s="20"/>
      <c r="G57" s="20"/>
      <c r="H57" s="20"/>
      <c r="I57" s="20"/>
      <c r="J57" s="20"/>
      <c r="K57" s="20"/>
      <c r="L57" s="20"/>
    </row>
    <row r="58" spans="1:13">
      <c r="D58" s="20"/>
      <c r="E58" s="20"/>
      <c r="F58" s="20"/>
      <c r="G58" s="20"/>
      <c r="H58" s="20"/>
      <c r="I58" s="20"/>
      <c r="J58" s="20"/>
      <c r="K58" s="20"/>
      <c r="L58" s="20"/>
    </row>
    <row r="59" spans="1:13">
      <c r="D59" s="20"/>
      <c r="E59" s="20"/>
      <c r="F59" s="20"/>
      <c r="G59" s="20"/>
      <c r="H59" s="20"/>
      <c r="I59" s="20"/>
      <c r="J59" s="20"/>
      <c r="K59" s="20"/>
      <c r="L59" s="20"/>
    </row>
    <row r="60" spans="1:13">
      <c r="D60" s="20"/>
      <c r="E60" s="20"/>
      <c r="F60" s="20"/>
      <c r="G60" s="20"/>
      <c r="H60" s="20"/>
      <c r="I60" s="20"/>
      <c r="J60" s="20"/>
      <c r="K60" s="20"/>
      <c r="L60" s="20"/>
    </row>
    <row r="61" spans="1:13">
      <c r="D61" s="20"/>
      <c r="E61" s="20"/>
      <c r="F61" s="20"/>
      <c r="G61" s="20"/>
      <c r="H61" s="20"/>
      <c r="I61" s="20"/>
      <c r="J61" s="20"/>
      <c r="K61" s="20"/>
      <c r="L61" s="20"/>
    </row>
    <row r="62" spans="1:13">
      <c r="D62" s="20"/>
      <c r="E62" s="20"/>
      <c r="F62" s="20"/>
      <c r="G62" s="20"/>
      <c r="H62" s="20"/>
      <c r="I62" s="20"/>
      <c r="J62" s="20"/>
      <c r="K62" s="20"/>
      <c r="L62" s="20"/>
    </row>
    <row r="63" spans="1:13">
      <c r="D63" s="20"/>
      <c r="E63" s="20"/>
      <c r="F63" s="20"/>
      <c r="G63" s="20"/>
      <c r="H63" s="20"/>
      <c r="I63" s="20"/>
      <c r="J63" s="20"/>
      <c r="K63" s="20"/>
      <c r="L63" s="20"/>
    </row>
    <row r="64" spans="1:13">
      <c r="D64" s="20"/>
      <c r="E64" s="20"/>
      <c r="F64" s="20"/>
      <c r="G64" s="20"/>
      <c r="H64" s="20"/>
      <c r="I64" s="20"/>
      <c r="J64" s="20"/>
      <c r="K64" s="20"/>
      <c r="L64" s="20"/>
    </row>
    <row r="65" spans="4:12">
      <c r="D65" s="20"/>
      <c r="E65" s="20"/>
      <c r="F65" s="20"/>
      <c r="G65" s="20"/>
      <c r="H65" s="20"/>
      <c r="I65" s="20"/>
      <c r="J65" s="20"/>
      <c r="K65" s="20"/>
      <c r="L65" s="20"/>
    </row>
    <row r="66" spans="4:12">
      <c r="D66" s="20"/>
      <c r="E66" s="20"/>
      <c r="F66" s="20"/>
      <c r="G66" s="20"/>
      <c r="H66" s="20"/>
      <c r="I66" s="20"/>
      <c r="J66" s="20"/>
      <c r="K66" s="20"/>
      <c r="L66" s="20"/>
    </row>
    <row r="67" spans="4:12">
      <c r="D67" s="20"/>
      <c r="E67" s="20"/>
      <c r="F67" s="20"/>
      <c r="G67" s="20"/>
      <c r="H67" s="20"/>
      <c r="I67" s="20"/>
      <c r="J67" s="20"/>
      <c r="K67" s="20"/>
      <c r="L67" s="20"/>
    </row>
    <row r="68" spans="4:12">
      <c r="D68" s="20"/>
      <c r="E68" s="20"/>
      <c r="F68" s="20"/>
      <c r="G68" s="20"/>
      <c r="H68" s="20"/>
      <c r="I68" s="20"/>
      <c r="J68" s="20"/>
      <c r="K68" s="20"/>
      <c r="L68" s="20"/>
    </row>
    <row r="69" spans="4:12">
      <c r="D69" s="20"/>
      <c r="E69" s="20"/>
      <c r="F69" s="20"/>
      <c r="G69" s="20"/>
      <c r="H69" s="20"/>
      <c r="I69" s="20"/>
      <c r="J69" s="20"/>
      <c r="K69" s="20"/>
      <c r="L69" s="20"/>
    </row>
    <row r="70" spans="4:12">
      <c r="D70" s="20"/>
      <c r="E70" s="20"/>
      <c r="F70" s="20"/>
      <c r="G70" s="20"/>
      <c r="H70" s="20"/>
      <c r="I70" s="20"/>
      <c r="J70" s="20"/>
      <c r="K70" s="20"/>
      <c r="L70" s="20"/>
    </row>
    <row r="71" spans="4:12">
      <c r="D71" s="20"/>
      <c r="E71" s="20"/>
      <c r="F71" s="20"/>
      <c r="G71" s="20"/>
      <c r="H71" s="20"/>
      <c r="I71" s="20"/>
      <c r="J71" s="20"/>
      <c r="K71" s="20"/>
      <c r="L71" s="20"/>
    </row>
    <row r="72" spans="4:12">
      <c r="D72" s="20"/>
      <c r="E72" s="20"/>
      <c r="F72" s="20"/>
      <c r="G72" s="20"/>
      <c r="H72" s="20"/>
      <c r="I72" s="20"/>
      <c r="J72" s="20"/>
      <c r="K72" s="20"/>
      <c r="L72" s="20"/>
    </row>
    <row r="73" spans="4:12">
      <c r="D73" s="20"/>
      <c r="E73" s="20"/>
      <c r="F73" s="20"/>
      <c r="G73" s="20"/>
      <c r="H73" s="20"/>
      <c r="I73" s="20"/>
      <c r="J73" s="20"/>
      <c r="K73" s="20"/>
      <c r="L73" s="20"/>
    </row>
    <row r="74" spans="4:12">
      <c r="D74" s="20"/>
      <c r="E74" s="20"/>
      <c r="F74" s="20"/>
      <c r="G74" s="20"/>
      <c r="H74" s="20"/>
      <c r="I74" s="20"/>
      <c r="J74" s="20"/>
      <c r="K74" s="20"/>
      <c r="L74" s="20"/>
    </row>
    <row r="75" spans="4:12">
      <c r="D75" s="20"/>
      <c r="E75" s="20"/>
      <c r="F75" s="20"/>
      <c r="G75" s="20"/>
      <c r="H75" s="20"/>
      <c r="I75" s="20"/>
      <c r="J75" s="20"/>
      <c r="K75" s="20"/>
      <c r="L75" s="20"/>
    </row>
    <row r="76" spans="4:12">
      <c r="D76" s="20"/>
      <c r="E76" s="20"/>
      <c r="F76" s="20"/>
      <c r="G76" s="20"/>
      <c r="H76" s="20"/>
      <c r="I76" s="20"/>
      <c r="J76" s="20"/>
      <c r="K76" s="20"/>
      <c r="L76" s="20"/>
    </row>
    <row r="77" spans="4:12">
      <c r="D77" s="20"/>
      <c r="E77" s="20"/>
      <c r="F77" s="20"/>
      <c r="G77" s="20"/>
      <c r="H77" s="20"/>
      <c r="I77" s="20"/>
      <c r="J77" s="20"/>
      <c r="K77" s="20"/>
      <c r="L77" s="20"/>
    </row>
    <row r="78" spans="4:12">
      <c r="D78" s="20"/>
      <c r="E78" s="20"/>
      <c r="F78" s="20"/>
      <c r="G78" s="20"/>
      <c r="H78" s="20"/>
      <c r="I78" s="20"/>
      <c r="J78" s="20"/>
      <c r="K78" s="20"/>
      <c r="L78" s="20"/>
    </row>
    <row r="79" spans="4:12">
      <c r="D79" s="20"/>
      <c r="E79" s="20"/>
      <c r="F79" s="20"/>
      <c r="G79" s="20"/>
      <c r="H79" s="20"/>
      <c r="I79" s="20"/>
      <c r="J79" s="20"/>
      <c r="K79" s="20"/>
      <c r="L79" s="20"/>
    </row>
    <row r="80" spans="4:12">
      <c r="D80" s="20"/>
      <c r="E80" s="20"/>
      <c r="F80" s="20"/>
      <c r="G80" s="20"/>
      <c r="H80" s="20"/>
      <c r="I80" s="20"/>
      <c r="J80" s="20"/>
      <c r="K80" s="20"/>
      <c r="L80" s="20"/>
    </row>
    <row r="81" spans="4:12">
      <c r="D81" s="20"/>
      <c r="E81" s="20"/>
      <c r="F81" s="20"/>
      <c r="G81" s="20"/>
      <c r="H81" s="20"/>
      <c r="I81" s="20"/>
      <c r="J81" s="20"/>
      <c r="K81" s="20"/>
      <c r="L81" s="20"/>
    </row>
    <row r="82" spans="4:12">
      <c r="D82" s="20"/>
      <c r="E82" s="20"/>
      <c r="F82" s="20"/>
      <c r="G82" s="20"/>
      <c r="H82" s="20"/>
      <c r="I82" s="20"/>
      <c r="J82" s="20"/>
      <c r="K82" s="20"/>
      <c r="L82" s="20"/>
    </row>
    <row r="83" spans="4:12">
      <c r="D83" s="20"/>
      <c r="E83" s="20"/>
      <c r="F83" s="20"/>
      <c r="G83" s="20"/>
      <c r="H83" s="20"/>
      <c r="I83" s="20"/>
      <c r="J83" s="20"/>
      <c r="K83" s="20"/>
      <c r="L83" s="20"/>
    </row>
    <row r="84" spans="4:12">
      <c r="D84" s="20"/>
      <c r="E84" s="20"/>
      <c r="F84" s="20"/>
      <c r="G84" s="20"/>
      <c r="H84" s="20"/>
      <c r="I84" s="20"/>
      <c r="J84" s="20"/>
      <c r="K84" s="20"/>
      <c r="L84" s="20"/>
    </row>
    <row r="85" spans="4:12">
      <c r="D85" s="20"/>
      <c r="E85" s="20"/>
      <c r="F85" s="20"/>
      <c r="G85" s="20"/>
      <c r="H85" s="20"/>
      <c r="I85" s="20"/>
      <c r="J85" s="20"/>
      <c r="K85" s="20"/>
      <c r="L85" s="20"/>
    </row>
    <row r="86" spans="4:12">
      <c r="D86" s="20"/>
      <c r="E86" s="20"/>
      <c r="F86" s="20"/>
      <c r="G86" s="20"/>
      <c r="H86" s="20"/>
      <c r="I86" s="20"/>
      <c r="J86" s="20"/>
      <c r="K86" s="20"/>
      <c r="L86" s="20"/>
    </row>
    <row r="87" spans="4:12">
      <c r="D87" s="20"/>
      <c r="E87" s="20"/>
      <c r="F87" s="20"/>
      <c r="G87" s="20"/>
      <c r="H87" s="20"/>
      <c r="I87" s="20"/>
      <c r="J87" s="20"/>
      <c r="K87" s="20"/>
      <c r="L87" s="20"/>
    </row>
    <row r="88" spans="4:12">
      <c r="D88" s="20"/>
      <c r="E88" s="20"/>
      <c r="F88" s="20"/>
      <c r="G88" s="20"/>
      <c r="H88" s="20"/>
      <c r="I88" s="20"/>
      <c r="J88" s="20"/>
      <c r="K88" s="20"/>
      <c r="L88" s="20"/>
    </row>
    <row r="89" spans="4:12">
      <c r="D89" s="20"/>
      <c r="E89" s="20"/>
      <c r="F89" s="20"/>
      <c r="G89" s="20"/>
      <c r="H89" s="20"/>
      <c r="I89" s="20"/>
      <c r="J89" s="20"/>
      <c r="K89" s="20"/>
      <c r="L89" s="20"/>
    </row>
    <row r="90" spans="4:12">
      <c r="D90" s="20"/>
      <c r="E90" s="20"/>
      <c r="F90" s="20"/>
      <c r="G90" s="20"/>
      <c r="H90" s="20"/>
      <c r="I90" s="20"/>
      <c r="J90" s="20"/>
      <c r="K90" s="20"/>
      <c r="L90" s="20"/>
    </row>
    <row r="91" spans="4:12">
      <c r="D91" s="20"/>
      <c r="E91" s="20"/>
      <c r="F91" s="20"/>
      <c r="G91" s="20"/>
      <c r="H91" s="20"/>
      <c r="I91" s="20"/>
      <c r="J91" s="20"/>
      <c r="K91" s="20"/>
      <c r="L91" s="20"/>
    </row>
    <row r="92" spans="4:12">
      <c r="D92" s="20"/>
      <c r="E92" s="20"/>
      <c r="F92" s="20"/>
      <c r="G92" s="20"/>
      <c r="H92" s="20"/>
      <c r="I92" s="20"/>
      <c r="J92" s="20"/>
      <c r="K92" s="20"/>
      <c r="L92" s="20"/>
    </row>
    <row r="93" spans="4:12">
      <c r="D93" s="20"/>
      <c r="E93" s="20"/>
      <c r="F93" s="20"/>
      <c r="G93" s="20"/>
      <c r="H93" s="20"/>
      <c r="I93" s="20"/>
      <c r="J93" s="20"/>
      <c r="K93" s="20"/>
      <c r="L93" s="20"/>
    </row>
    <row r="94" spans="4:12">
      <c r="D94" s="20"/>
      <c r="E94" s="20"/>
      <c r="F94" s="20"/>
      <c r="G94" s="20"/>
      <c r="H94" s="20"/>
      <c r="I94" s="20"/>
      <c r="J94" s="20"/>
      <c r="K94" s="20"/>
      <c r="L94" s="20"/>
    </row>
    <row r="95" spans="4:12">
      <c r="D95" s="20"/>
      <c r="E95" s="20"/>
      <c r="F95" s="20"/>
      <c r="G95" s="20"/>
      <c r="H95" s="20"/>
      <c r="I95" s="20"/>
      <c r="J95" s="20"/>
      <c r="K95" s="20"/>
      <c r="L95" s="20"/>
    </row>
    <row r="96" spans="4:12">
      <c r="D96" s="20"/>
      <c r="E96" s="20"/>
      <c r="F96" s="20"/>
      <c r="G96" s="20"/>
      <c r="H96" s="20"/>
      <c r="I96" s="20"/>
      <c r="J96" s="20"/>
      <c r="K96" s="20"/>
      <c r="L96" s="20"/>
    </row>
    <row r="97" spans="4:12">
      <c r="D97" s="20"/>
      <c r="E97" s="20"/>
      <c r="F97" s="20"/>
      <c r="G97" s="20"/>
      <c r="H97" s="20"/>
      <c r="I97" s="20"/>
      <c r="J97" s="20"/>
      <c r="K97" s="20"/>
      <c r="L97" s="20"/>
    </row>
    <row r="98" spans="4:12">
      <c r="D98" s="20"/>
      <c r="E98" s="20"/>
      <c r="F98" s="20"/>
      <c r="G98" s="20"/>
      <c r="H98" s="20"/>
      <c r="I98" s="20"/>
      <c r="J98" s="20"/>
      <c r="K98" s="20"/>
      <c r="L98" s="20"/>
    </row>
    <row r="99" spans="4:12">
      <c r="D99" s="20"/>
      <c r="E99" s="20"/>
      <c r="F99" s="20"/>
      <c r="G99" s="20"/>
      <c r="H99" s="20"/>
      <c r="I99" s="20"/>
      <c r="J99" s="20"/>
      <c r="K99" s="20"/>
      <c r="L99" s="20"/>
    </row>
    <row r="100" spans="4:12"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4:12"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4:12"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4:12"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4:12"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4:12"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4:12"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4:12"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4:12"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4:12"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4:12"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4:12"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4:12"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4:12"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4:12"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4:12"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4:12"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4:12"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4:12"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4:12"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4:12"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4:12"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4:12"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4:12">
      <c r="D123" s="20"/>
      <c r="E123" s="20"/>
      <c r="F123" s="20"/>
      <c r="G123" s="20"/>
      <c r="H123" s="20"/>
      <c r="I123" s="20"/>
      <c r="J123" s="20"/>
      <c r="K123" s="20"/>
      <c r="L123" s="20"/>
    </row>
  </sheetData>
  <mergeCells count="50">
    <mergeCell ref="L5:L6"/>
    <mergeCell ref="F4:M4"/>
    <mergeCell ref="M5:M6"/>
    <mergeCell ref="H5:H6"/>
    <mergeCell ref="I5:I6"/>
    <mergeCell ref="J5:J6"/>
    <mergeCell ref="F5:F6"/>
    <mergeCell ref="K5:K6"/>
    <mergeCell ref="B11:B14"/>
    <mergeCell ref="A27:A30"/>
    <mergeCell ref="B15:B18"/>
    <mergeCell ref="B1:C1"/>
    <mergeCell ref="A7:A10"/>
    <mergeCell ref="B7:B10"/>
    <mergeCell ref="C7:C10"/>
    <mergeCell ref="A11:A14"/>
    <mergeCell ref="A15:A18"/>
    <mergeCell ref="A2:L2"/>
    <mergeCell ref="A4:A6"/>
    <mergeCell ref="B4:B6"/>
    <mergeCell ref="C4:C6"/>
    <mergeCell ref="D4:D6"/>
    <mergeCell ref="E4:E6"/>
    <mergeCell ref="G5:G6"/>
    <mergeCell ref="B43:B46"/>
    <mergeCell ref="C43:C46"/>
    <mergeCell ref="A19:A22"/>
    <mergeCell ref="B19:B22"/>
    <mergeCell ref="A35:A38"/>
    <mergeCell ref="B35:B38"/>
    <mergeCell ref="C35:C38"/>
    <mergeCell ref="C19:C22"/>
    <mergeCell ref="A23:A26"/>
    <mergeCell ref="B23:B26"/>
    <mergeCell ref="K1:M1"/>
    <mergeCell ref="A47:A50"/>
    <mergeCell ref="B47:B50"/>
    <mergeCell ref="C47:C50"/>
    <mergeCell ref="C11:C14"/>
    <mergeCell ref="C27:C30"/>
    <mergeCell ref="C15:C18"/>
    <mergeCell ref="A39:A42"/>
    <mergeCell ref="B39:B42"/>
    <mergeCell ref="C39:C42"/>
    <mergeCell ref="A31:A34"/>
    <mergeCell ref="B31:B34"/>
    <mergeCell ref="C31:C34"/>
    <mergeCell ref="B27:B30"/>
    <mergeCell ref="C23:C26"/>
    <mergeCell ref="A43:A46"/>
  </mergeCells>
  <pageMargins left="0.78740157480314965" right="0.39370078740157483" top="3.937007874015748E-2" bottom="3.937007874015748E-2" header="0.31496062992125984" footer="0.31496062992125984"/>
  <pageSetup paperSize="9" scale="52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9"/>
  <sheetViews>
    <sheetView topLeftCell="A10" zoomScale="80" zoomScaleNormal="80" workbookViewId="0">
      <selection activeCell="P7" sqref="P7"/>
    </sheetView>
  </sheetViews>
  <sheetFormatPr defaultColWidth="9.109375" defaultRowHeight="13.8"/>
  <cols>
    <col min="1" max="1" width="7.109375" style="10" customWidth="1"/>
    <col min="2" max="2" width="55" style="10" customWidth="1"/>
    <col min="3" max="3" width="9.6640625" style="15" customWidth="1"/>
    <col min="4" max="4" width="12.5546875" style="15" customWidth="1"/>
    <col min="5" max="5" width="13.44140625" style="15" customWidth="1"/>
    <col min="6" max="6" width="12.109375" style="15" customWidth="1"/>
    <col min="7" max="8" width="12.6640625" style="15" customWidth="1"/>
    <col min="9" max="9" width="12.44140625" style="14" customWidth="1"/>
    <col min="10" max="10" width="14.88671875" style="10" customWidth="1"/>
    <col min="11" max="11" width="12.6640625" style="10" customWidth="1"/>
    <col min="12" max="12" width="17.6640625" style="14" customWidth="1"/>
    <col min="13" max="13" width="16.6640625" style="10" customWidth="1"/>
    <col min="14" max="14" width="12.33203125" style="10" bestFit="1" customWidth="1"/>
    <col min="15" max="15" width="9.5546875" style="10" bestFit="1" customWidth="1"/>
    <col min="16" max="16" width="20" style="10" customWidth="1"/>
    <col min="17" max="16384" width="9.109375" style="10"/>
  </cols>
  <sheetData>
    <row r="1" spans="1:14" ht="46.95" customHeight="1">
      <c r="I1" s="36"/>
      <c r="J1" s="1248" t="s">
        <v>471</v>
      </c>
      <c r="K1" s="1248"/>
      <c r="L1" s="1248"/>
      <c r="M1" s="1248"/>
      <c r="N1" s="36"/>
    </row>
    <row r="2" spans="1:14" ht="19.2" customHeight="1">
      <c r="A2" s="1268" t="s">
        <v>406</v>
      </c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</row>
    <row r="3" spans="1:14" ht="42" customHeight="1">
      <c r="A3" s="1266" t="s">
        <v>28</v>
      </c>
      <c r="B3" s="1266" t="s">
        <v>29</v>
      </c>
      <c r="C3" s="1266" t="s">
        <v>30</v>
      </c>
      <c r="D3" s="1271" t="s">
        <v>31</v>
      </c>
      <c r="E3" s="1272"/>
      <c r="F3" s="1272"/>
      <c r="G3" s="1272"/>
      <c r="H3" s="1272"/>
      <c r="I3" s="1273"/>
      <c r="J3" s="1274" t="s">
        <v>209</v>
      </c>
      <c r="K3" s="1275"/>
      <c r="L3" s="140" t="s">
        <v>212</v>
      </c>
      <c r="M3" s="1276" t="s">
        <v>220</v>
      </c>
    </row>
    <row r="4" spans="1:14" ht="55.95" customHeight="1">
      <c r="A4" s="1267"/>
      <c r="B4" s="1267"/>
      <c r="C4" s="1267"/>
      <c r="D4" s="67" t="s">
        <v>437</v>
      </c>
      <c r="E4" s="212" t="s">
        <v>393</v>
      </c>
      <c r="F4" s="212" t="s">
        <v>408</v>
      </c>
      <c r="G4" s="212" t="s">
        <v>446</v>
      </c>
      <c r="H4" s="212" t="s">
        <v>438</v>
      </c>
      <c r="I4" s="96" t="s">
        <v>32</v>
      </c>
      <c r="J4" s="136"/>
      <c r="K4" s="136" t="s">
        <v>384</v>
      </c>
      <c r="L4" s="217" t="s">
        <v>456</v>
      </c>
      <c r="M4" s="1277"/>
    </row>
    <row r="5" spans="1:14" ht="22.2" customHeight="1">
      <c r="A5" s="22" t="s">
        <v>3</v>
      </c>
      <c r="B5" s="81" t="s">
        <v>51</v>
      </c>
      <c r="C5" s="111"/>
      <c r="D5" s="111"/>
      <c r="E5" s="111"/>
      <c r="F5" s="111"/>
      <c r="G5" s="111"/>
      <c r="H5" s="111"/>
      <c r="I5" s="111"/>
      <c r="J5" s="137"/>
      <c r="K5" s="137"/>
      <c r="L5" s="137"/>
      <c r="M5" s="139"/>
    </row>
    <row r="6" spans="1:14" ht="23.4" customHeight="1">
      <c r="A6" s="23" t="s">
        <v>33</v>
      </c>
      <c r="B6" s="59" t="s">
        <v>34</v>
      </c>
      <c r="C6" s="59"/>
      <c r="D6" s="59"/>
      <c r="E6" s="59"/>
      <c r="F6" s="59"/>
      <c r="G6" s="59"/>
      <c r="H6" s="59"/>
      <c r="I6" s="59"/>
      <c r="J6" s="137"/>
      <c r="K6" s="137"/>
      <c r="L6" s="137"/>
      <c r="M6" s="139"/>
    </row>
    <row r="7" spans="1:14" ht="17.399999999999999" customHeight="1">
      <c r="A7" s="24" t="s">
        <v>35</v>
      </c>
      <c r="B7" s="112" t="s">
        <v>36</v>
      </c>
      <c r="C7" s="113"/>
      <c r="D7" s="114"/>
      <c r="E7" s="114"/>
      <c r="F7" s="114"/>
      <c r="G7" s="114"/>
      <c r="H7" s="114"/>
      <c r="I7" s="114"/>
      <c r="J7" s="137"/>
      <c r="K7" s="137"/>
      <c r="L7" s="137"/>
      <c r="M7" s="139"/>
    </row>
    <row r="8" spans="1:14" ht="15" customHeight="1">
      <c r="A8" s="1261" t="s">
        <v>37</v>
      </c>
      <c r="B8" s="1251" t="s">
        <v>49</v>
      </c>
      <c r="C8" s="25" t="s">
        <v>165</v>
      </c>
      <c r="D8" s="26"/>
      <c r="E8" s="26"/>
      <c r="F8" s="26"/>
      <c r="G8" s="26"/>
      <c r="H8" s="26"/>
      <c r="I8" s="65">
        <f>SUM(D8:H8)</f>
        <v>0</v>
      </c>
      <c r="J8" s="137" t="s">
        <v>9</v>
      </c>
      <c r="K8" s="137"/>
      <c r="L8" s="137" t="s">
        <v>9</v>
      </c>
      <c r="M8" s="139"/>
    </row>
    <row r="9" spans="1:14" ht="15" customHeight="1">
      <c r="A9" s="1262"/>
      <c r="B9" s="1254"/>
      <c r="C9" s="97" t="s">
        <v>215</v>
      </c>
      <c r="D9" s="27">
        <v>222</v>
      </c>
      <c r="E9" s="27">
        <v>300</v>
      </c>
      <c r="F9" s="27">
        <v>140</v>
      </c>
      <c r="G9" s="27">
        <v>801</v>
      </c>
      <c r="H9" s="27">
        <v>250</v>
      </c>
      <c r="I9" s="65">
        <f>SUM(D9:H9)</f>
        <v>1713</v>
      </c>
      <c r="J9" s="137" t="s">
        <v>9</v>
      </c>
      <c r="K9" s="137"/>
      <c r="L9" s="137" t="s">
        <v>9</v>
      </c>
      <c r="M9" s="139"/>
    </row>
    <row r="10" spans="1:14" ht="15" customHeight="1">
      <c r="A10" s="1263"/>
      <c r="B10" s="1252"/>
      <c r="C10" s="90" t="s">
        <v>39</v>
      </c>
      <c r="D10" s="91">
        <v>606.76099999999997</v>
      </c>
      <c r="E10" s="91">
        <v>820.46199999999999</v>
      </c>
      <c r="F10" s="91">
        <v>406.899</v>
      </c>
      <c r="G10" s="91">
        <v>1484.095</v>
      </c>
      <c r="H10" s="91">
        <v>735.52300000000002</v>
      </c>
      <c r="I10" s="109">
        <f>SUM(D10:H10)</f>
        <v>4053.74</v>
      </c>
      <c r="J10" s="137" t="s">
        <v>9</v>
      </c>
      <c r="K10" s="137"/>
      <c r="L10" s="137" t="s">
        <v>9</v>
      </c>
      <c r="M10" s="106">
        <f>I10</f>
        <v>4053.74</v>
      </c>
    </row>
    <row r="11" spans="1:14" ht="17.399999999999999" customHeight="1">
      <c r="A11" s="29" t="s">
        <v>40</v>
      </c>
      <c r="B11" s="111" t="s">
        <v>41</v>
      </c>
      <c r="C11" s="111"/>
      <c r="D11" s="111"/>
      <c r="E11" s="111"/>
      <c r="F11" s="111"/>
      <c r="G11" s="111"/>
      <c r="H11" s="111"/>
      <c r="I11" s="111"/>
      <c r="J11" s="137"/>
      <c r="K11" s="137"/>
      <c r="L11" s="137"/>
      <c r="M11" s="106"/>
    </row>
    <row r="12" spans="1:14" ht="13.95" customHeight="1">
      <c r="A12" s="1264" t="s">
        <v>42</v>
      </c>
      <c r="B12" s="1251" t="s">
        <v>161</v>
      </c>
      <c r="C12" s="97" t="s">
        <v>43</v>
      </c>
      <c r="D12" s="30">
        <v>2</v>
      </c>
      <c r="E12" s="21"/>
      <c r="F12" s="30"/>
      <c r="G12" s="30">
        <v>4</v>
      </c>
      <c r="H12" s="30">
        <v>2</v>
      </c>
      <c r="I12" s="66">
        <f>SUM(D12:H12)</f>
        <v>8</v>
      </c>
      <c r="J12" s="137" t="s">
        <v>9</v>
      </c>
      <c r="K12" s="137"/>
      <c r="L12" s="137" t="s">
        <v>9</v>
      </c>
      <c r="M12" s="106"/>
    </row>
    <row r="13" spans="1:14" ht="14.4">
      <c r="A13" s="1265"/>
      <c r="B13" s="1252"/>
      <c r="C13" s="28" t="s">
        <v>39</v>
      </c>
      <c r="D13" s="31">
        <v>111.852</v>
      </c>
      <c r="E13" s="31"/>
      <c r="F13" s="31"/>
      <c r="G13" s="31">
        <v>220.994</v>
      </c>
      <c r="H13" s="31">
        <v>112.46899999999999</v>
      </c>
      <c r="I13" s="110">
        <f>SUM(D13:H13)</f>
        <v>445.315</v>
      </c>
      <c r="J13" s="137" t="s">
        <v>9</v>
      </c>
      <c r="K13" s="137"/>
      <c r="L13" s="137" t="s">
        <v>9</v>
      </c>
      <c r="M13" s="106">
        <f>I13</f>
        <v>445.315</v>
      </c>
    </row>
    <row r="14" spans="1:14" ht="13.95" customHeight="1">
      <c r="A14" s="1255" t="s">
        <v>14</v>
      </c>
      <c r="B14" s="1259" t="s">
        <v>44</v>
      </c>
      <c r="C14" s="97" t="s">
        <v>43</v>
      </c>
      <c r="D14" s="21" t="s">
        <v>162</v>
      </c>
      <c r="E14" s="21"/>
      <c r="F14" s="21"/>
      <c r="G14" s="21" t="s">
        <v>440</v>
      </c>
      <c r="H14" s="21" t="s">
        <v>439</v>
      </c>
      <c r="I14" s="66"/>
      <c r="J14" s="137" t="s">
        <v>9</v>
      </c>
      <c r="K14" s="137"/>
      <c r="L14" s="137" t="s">
        <v>9</v>
      </c>
      <c r="M14" s="106"/>
    </row>
    <row r="15" spans="1:14" ht="13.95" customHeight="1">
      <c r="A15" s="1256"/>
      <c r="B15" s="1260"/>
      <c r="C15" s="97" t="s">
        <v>39</v>
      </c>
      <c r="D15" s="115">
        <v>25.536000000000001</v>
      </c>
      <c r="E15" s="115"/>
      <c r="F15" s="115"/>
      <c r="G15" s="115">
        <v>51.079000000000001</v>
      </c>
      <c r="H15" s="115">
        <v>12.766999999999999</v>
      </c>
      <c r="I15" s="99">
        <f>SUM(D15:H15)</f>
        <v>89.382000000000005</v>
      </c>
      <c r="J15" s="137" t="s">
        <v>9</v>
      </c>
      <c r="K15" s="137"/>
      <c r="L15" s="137" t="s">
        <v>9</v>
      </c>
      <c r="M15" s="106">
        <f>I15</f>
        <v>89.382000000000005</v>
      </c>
    </row>
    <row r="16" spans="1:14" ht="13.95" customHeight="1">
      <c r="A16" s="1257" t="s">
        <v>15</v>
      </c>
      <c r="B16" s="1259" t="s">
        <v>54</v>
      </c>
      <c r="C16" s="97" t="s">
        <v>43</v>
      </c>
      <c r="D16" s="21" t="s">
        <v>162</v>
      </c>
      <c r="E16" s="21"/>
      <c r="F16" s="21"/>
      <c r="G16" s="21" t="s">
        <v>440</v>
      </c>
      <c r="H16" s="21" t="s">
        <v>439</v>
      </c>
      <c r="I16" s="66"/>
      <c r="J16" s="137" t="s">
        <v>9</v>
      </c>
      <c r="K16" s="137"/>
      <c r="L16" s="137" t="s">
        <v>9</v>
      </c>
      <c r="M16" s="106"/>
    </row>
    <row r="17" spans="1:17" ht="13.95" customHeight="1">
      <c r="A17" s="1258"/>
      <c r="B17" s="1260"/>
      <c r="C17" s="28" t="s">
        <v>39</v>
      </c>
      <c r="D17" s="31">
        <v>15.55</v>
      </c>
      <c r="E17" s="31"/>
      <c r="F17" s="31"/>
      <c r="G17" s="31">
        <v>30.071000000000002</v>
      </c>
      <c r="H17" s="31">
        <v>7.52</v>
      </c>
      <c r="I17" s="110">
        <f>SUM(D17:H17)</f>
        <v>53.141000000000005</v>
      </c>
      <c r="J17" s="137" t="s">
        <v>9</v>
      </c>
      <c r="K17" s="137"/>
      <c r="L17" s="137" t="s">
        <v>9</v>
      </c>
      <c r="M17" s="106">
        <f>I17</f>
        <v>53.141000000000005</v>
      </c>
    </row>
    <row r="18" spans="1:17" ht="12.6" customHeight="1">
      <c r="A18" s="23" t="s">
        <v>45</v>
      </c>
      <c r="B18" s="59" t="s">
        <v>46</v>
      </c>
      <c r="C18" s="111"/>
      <c r="D18" s="111"/>
      <c r="E18" s="111"/>
      <c r="F18" s="111"/>
      <c r="G18" s="111"/>
      <c r="H18" s="111"/>
      <c r="I18" s="111"/>
      <c r="J18" s="137"/>
      <c r="K18" s="137"/>
      <c r="L18" s="137"/>
      <c r="M18" s="106"/>
    </row>
    <row r="19" spans="1:17">
      <c r="A19" s="59" t="s">
        <v>16</v>
      </c>
      <c r="B19" s="111" t="s">
        <v>56</v>
      </c>
      <c r="C19" s="111"/>
      <c r="D19" s="111"/>
      <c r="E19" s="111"/>
      <c r="F19" s="111"/>
      <c r="G19" s="111"/>
      <c r="H19" s="111"/>
      <c r="I19" s="111"/>
      <c r="J19" s="137"/>
      <c r="K19" s="137"/>
      <c r="L19" s="137"/>
      <c r="M19" s="64"/>
    </row>
    <row r="20" spans="1:17" ht="15" customHeight="1">
      <c r="A20" s="1249" t="s">
        <v>47</v>
      </c>
      <c r="B20" s="1251" t="s">
        <v>50</v>
      </c>
      <c r="C20" s="12" t="s">
        <v>165</v>
      </c>
      <c r="D20" s="32"/>
      <c r="E20" s="32"/>
      <c r="F20" s="32"/>
      <c r="G20" s="32"/>
      <c r="H20" s="32"/>
      <c r="I20" s="65">
        <f>SUM(D20:H20)</f>
        <v>0</v>
      </c>
      <c r="J20" s="137" t="s">
        <v>9</v>
      </c>
      <c r="K20" s="137"/>
      <c r="L20" s="137" t="s">
        <v>9</v>
      </c>
      <c r="M20" s="64"/>
    </row>
    <row r="21" spans="1:17" ht="15" customHeight="1">
      <c r="A21" s="1253"/>
      <c r="B21" s="1254"/>
      <c r="C21" s="97" t="s">
        <v>215</v>
      </c>
      <c r="D21" s="12">
        <v>73</v>
      </c>
      <c r="E21" s="12">
        <v>88</v>
      </c>
      <c r="F21" s="32">
        <v>73</v>
      </c>
      <c r="G21" s="12">
        <v>72</v>
      </c>
      <c r="H21" s="12">
        <v>42</v>
      </c>
      <c r="I21" s="98">
        <f>SUM(D21:H21)</f>
        <v>348</v>
      </c>
      <c r="J21" s="137" t="s">
        <v>9</v>
      </c>
      <c r="K21" s="137"/>
      <c r="L21" s="137" t="s">
        <v>9</v>
      </c>
      <c r="M21" s="64"/>
    </row>
    <row r="22" spans="1:17" ht="15" customHeight="1">
      <c r="A22" s="1250"/>
      <c r="B22" s="1252"/>
      <c r="C22" s="28" t="s">
        <v>39</v>
      </c>
      <c r="D22" s="33">
        <v>156.708</v>
      </c>
      <c r="E22" s="33">
        <v>195.196</v>
      </c>
      <c r="F22" s="33">
        <v>132.114</v>
      </c>
      <c r="G22" s="33">
        <v>174.446</v>
      </c>
      <c r="H22" s="33">
        <v>174.059</v>
      </c>
      <c r="I22" s="110">
        <f>SUM(D22:H22)</f>
        <v>832.52300000000002</v>
      </c>
      <c r="J22" s="137" t="s">
        <v>9</v>
      </c>
      <c r="K22" s="137"/>
      <c r="L22" s="137" t="s">
        <v>9</v>
      </c>
      <c r="M22" s="106">
        <f>I22</f>
        <v>832.52300000000002</v>
      </c>
    </row>
    <row r="23" spans="1:17" ht="15" customHeight="1">
      <c r="A23" s="1249" t="s">
        <v>163</v>
      </c>
      <c r="B23" s="1251" t="s">
        <v>164</v>
      </c>
      <c r="C23" s="12" t="s">
        <v>38</v>
      </c>
      <c r="D23" s="32">
        <v>82.5</v>
      </c>
      <c r="E23" s="32">
        <v>23.5</v>
      </c>
      <c r="F23" s="32">
        <v>8</v>
      </c>
      <c r="G23" s="32">
        <v>69</v>
      </c>
      <c r="H23" s="32">
        <v>62</v>
      </c>
      <c r="I23" s="65">
        <f>SUM(D23:H23)</f>
        <v>245</v>
      </c>
      <c r="J23" s="137" t="s">
        <v>9</v>
      </c>
      <c r="K23" s="137"/>
      <c r="L23" s="137" t="s">
        <v>9</v>
      </c>
      <c r="M23" s="106"/>
    </row>
    <row r="24" spans="1:17" ht="15" customHeight="1">
      <c r="A24" s="1250"/>
      <c r="B24" s="1252"/>
      <c r="C24" s="28" t="s">
        <v>39</v>
      </c>
      <c r="D24" s="33">
        <v>298.85899999999998</v>
      </c>
      <c r="E24" s="33">
        <v>79.400999999999996</v>
      </c>
      <c r="F24" s="33">
        <v>29.928000000000001</v>
      </c>
      <c r="G24" s="33">
        <v>257.17399999999998</v>
      </c>
      <c r="H24" s="33">
        <v>230.96</v>
      </c>
      <c r="I24" s="31">
        <f>SUM(D24:H24)</f>
        <v>896.322</v>
      </c>
      <c r="J24" s="137" t="s">
        <v>9</v>
      </c>
      <c r="K24" s="137"/>
      <c r="L24" s="137" t="s">
        <v>9</v>
      </c>
      <c r="M24" s="106">
        <f>I24</f>
        <v>896.322</v>
      </c>
    </row>
    <row r="25" spans="1:17" ht="19.2" customHeight="1">
      <c r="A25" s="61" t="s">
        <v>166</v>
      </c>
      <c r="B25" s="141" t="s">
        <v>174</v>
      </c>
      <c r="C25" s="97"/>
      <c r="D25" s="116"/>
      <c r="E25" s="116"/>
      <c r="F25" s="116"/>
      <c r="G25" s="116"/>
      <c r="H25" s="116"/>
      <c r="I25" s="118"/>
      <c r="J25" s="137"/>
      <c r="K25" s="137"/>
      <c r="L25" s="137"/>
      <c r="M25" s="106"/>
    </row>
    <row r="26" spans="1:17" ht="15" customHeight="1">
      <c r="A26" s="1249" t="s">
        <v>167</v>
      </c>
      <c r="B26" s="1251" t="s">
        <v>49</v>
      </c>
      <c r="C26" s="97" t="s">
        <v>215</v>
      </c>
      <c r="D26" s="32">
        <v>250</v>
      </c>
      <c r="E26" s="32">
        <v>802</v>
      </c>
      <c r="F26" s="32">
        <v>40</v>
      </c>
      <c r="G26" s="32">
        <v>162</v>
      </c>
      <c r="H26" s="32">
        <v>165</v>
      </c>
      <c r="I26" s="65">
        <f>SUM(D26:H26)</f>
        <v>1419</v>
      </c>
      <c r="J26" s="137" t="s">
        <v>9</v>
      </c>
      <c r="K26" s="137"/>
      <c r="L26" s="137" t="s">
        <v>9</v>
      </c>
      <c r="M26" s="106"/>
    </row>
    <row r="27" spans="1:17" ht="15" customHeight="1">
      <c r="A27" s="1250"/>
      <c r="B27" s="1252"/>
      <c r="C27" s="28" t="s">
        <v>39</v>
      </c>
      <c r="D27" s="33">
        <v>557.625</v>
      </c>
      <c r="E27" s="33">
        <v>1756.9649999999999</v>
      </c>
      <c r="F27" s="33">
        <v>90.313000000000002</v>
      </c>
      <c r="G27" s="33">
        <v>378.82</v>
      </c>
      <c r="H27" s="33">
        <v>375.58</v>
      </c>
      <c r="I27" s="110">
        <f>SUM(D27:H27)</f>
        <v>3159.3030000000003</v>
      </c>
      <c r="J27" s="137" t="s">
        <v>9</v>
      </c>
      <c r="K27" s="137"/>
      <c r="L27" s="137" t="s">
        <v>9</v>
      </c>
      <c r="M27" s="106">
        <f>I27</f>
        <v>3159.3030000000003</v>
      </c>
    </row>
    <row r="28" spans="1:17" ht="13.95" customHeight="1">
      <c r="A28" s="70"/>
      <c r="B28" s="71" t="s">
        <v>175</v>
      </c>
      <c r="C28" s="119" t="s">
        <v>39</v>
      </c>
      <c r="D28" s="120">
        <v>1772.8910000000001</v>
      </c>
      <c r="E28" s="120">
        <v>2852.0239999999999</v>
      </c>
      <c r="F28" s="120">
        <v>659.25400000000002</v>
      </c>
      <c r="G28" s="120">
        <v>2596.6790000000001</v>
      </c>
      <c r="H28" s="120">
        <v>1648.8779999999999</v>
      </c>
      <c r="I28" s="120">
        <f>SUM(D28:H28)</f>
        <v>9529.7260000000006</v>
      </c>
      <c r="J28" s="72" t="s">
        <v>9</v>
      </c>
      <c r="K28" s="72"/>
      <c r="L28" s="72" t="s">
        <v>9</v>
      </c>
      <c r="M28" s="83">
        <f>I28</f>
        <v>9529.7260000000006</v>
      </c>
      <c r="O28"/>
      <c r="P28"/>
      <c r="Q28"/>
    </row>
    <row r="29" spans="1:17" ht="27.6" customHeight="1">
      <c r="A29" s="22" t="s">
        <v>48</v>
      </c>
      <c r="B29" s="81" t="s">
        <v>52</v>
      </c>
      <c r="C29" s="111"/>
      <c r="D29" s="121"/>
      <c r="E29" s="121"/>
      <c r="F29" s="121"/>
      <c r="G29" s="121"/>
      <c r="H29" s="121"/>
      <c r="I29" s="121"/>
      <c r="J29" s="13"/>
      <c r="K29" s="13"/>
      <c r="L29" s="137"/>
      <c r="M29" s="137"/>
      <c r="O29"/>
      <c r="P29"/>
      <c r="Q29"/>
    </row>
    <row r="30" spans="1:17" ht="15.6" customHeight="1">
      <c r="A30" s="1261" t="s">
        <v>104</v>
      </c>
      <c r="B30" s="1251" t="s">
        <v>441</v>
      </c>
      <c r="C30" s="97" t="s">
        <v>215</v>
      </c>
      <c r="D30" s="27" t="s">
        <v>9</v>
      </c>
      <c r="E30" s="27" t="s">
        <v>9</v>
      </c>
      <c r="F30" s="27" t="s">
        <v>9</v>
      </c>
      <c r="G30" s="27" t="s">
        <v>9</v>
      </c>
      <c r="H30" s="27" t="s">
        <v>9</v>
      </c>
      <c r="I30" s="27" t="s">
        <v>9</v>
      </c>
      <c r="J30" s="104"/>
      <c r="K30" s="104" t="s">
        <v>9</v>
      </c>
      <c r="L30" s="137" t="s">
        <v>9</v>
      </c>
      <c r="M30" s="137"/>
    </row>
    <row r="31" spans="1:17" ht="15" customHeight="1">
      <c r="A31" s="1263"/>
      <c r="B31" s="1252"/>
      <c r="C31" s="97" t="s">
        <v>39</v>
      </c>
      <c r="D31" s="27" t="s">
        <v>9</v>
      </c>
      <c r="E31" s="27" t="s">
        <v>9</v>
      </c>
      <c r="F31" s="27" t="s">
        <v>9</v>
      </c>
      <c r="G31" s="27" t="s">
        <v>9</v>
      </c>
      <c r="H31" s="27" t="s">
        <v>9</v>
      </c>
      <c r="I31" s="27" t="s">
        <v>9</v>
      </c>
      <c r="J31" s="16" t="s">
        <v>9</v>
      </c>
      <c r="K31" s="103">
        <v>6023.9049999999997</v>
      </c>
      <c r="L31" s="137" t="s">
        <v>9</v>
      </c>
      <c r="M31" s="100">
        <f>K31</f>
        <v>6023.9049999999997</v>
      </c>
    </row>
    <row r="32" spans="1:17" ht="20.399999999999999" customHeight="1">
      <c r="A32" s="72"/>
      <c r="B32" s="84" t="s">
        <v>176</v>
      </c>
      <c r="C32" s="73" t="s">
        <v>39</v>
      </c>
      <c r="D32" s="72" t="s">
        <v>9</v>
      </c>
      <c r="E32" s="72" t="s">
        <v>9</v>
      </c>
      <c r="F32" s="72" t="s">
        <v>9</v>
      </c>
      <c r="G32" s="72" t="s">
        <v>9</v>
      </c>
      <c r="H32" s="72" t="s">
        <v>9</v>
      </c>
      <c r="I32" s="72" t="s">
        <v>9</v>
      </c>
      <c r="J32" s="103" t="s">
        <v>9</v>
      </c>
      <c r="K32" s="103">
        <v>6023.9049999999997</v>
      </c>
      <c r="L32" s="85" t="s">
        <v>9</v>
      </c>
      <c r="M32" s="88">
        <f>M31</f>
        <v>6023.9049999999997</v>
      </c>
    </row>
    <row r="33" spans="1:13" ht="30.6" customHeight="1">
      <c r="A33" s="137" t="s">
        <v>88</v>
      </c>
      <c r="B33" s="142" t="s">
        <v>168</v>
      </c>
      <c r="C33" s="64"/>
      <c r="D33" s="64"/>
      <c r="E33" s="64"/>
      <c r="F33" s="64"/>
      <c r="G33" s="64"/>
      <c r="H33" s="64"/>
      <c r="I33" s="138"/>
      <c r="J33" s="64"/>
      <c r="K33" s="64"/>
      <c r="L33" s="79"/>
      <c r="M33" s="80"/>
    </row>
    <row r="34" spans="1:13" ht="14.4" customHeight="1">
      <c r="A34" s="72" t="s">
        <v>169</v>
      </c>
      <c r="B34" s="143"/>
      <c r="C34" s="72" t="s">
        <v>39</v>
      </c>
      <c r="D34" s="82" t="s">
        <v>9</v>
      </c>
      <c r="E34" s="82" t="s">
        <v>9</v>
      </c>
      <c r="F34" s="82" t="s">
        <v>9</v>
      </c>
      <c r="G34" s="82" t="s">
        <v>9</v>
      </c>
      <c r="H34" s="82"/>
      <c r="I34" s="83" t="s">
        <v>9</v>
      </c>
      <c r="J34" s="82" t="s">
        <v>9</v>
      </c>
      <c r="K34" s="82" t="s">
        <v>9</v>
      </c>
      <c r="L34" s="123">
        <v>1857.1980000000001</v>
      </c>
      <c r="M34" s="88">
        <f>L34</f>
        <v>1857.1980000000001</v>
      </c>
    </row>
    <row r="36" spans="1:13">
      <c r="A36" s="13"/>
      <c r="B36" s="64" t="s">
        <v>170</v>
      </c>
      <c r="C36" s="64" t="s">
        <v>39</v>
      </c>
      <c r="D36" s="64"/>
      <c r="E36" s="64"/>
      <c r="F36" s="64"/>
      <c r="G36" s="64"/>
      <c r="H36" s="64"/>
      <c r="I36" s="100">
        <f>I28</f>
        <v>9529.7260000000006</v>
      </c>
      <c r="J36" s="106" t="str">
        <f>J32</f>
        <v>х</v>
      </c>
      <c r="K36" s="106">
        <f>K32</f>
        <v>6023.9049999999997</v>
      </c>
      <c r="L36" s="107">
        <f>L34</f>
        <v>1857.1980000000001</v>
      </c>
      <c r="M36" s="42">
        <f>M28+M32+M34</f>
        <v>17410.829000000002</v>
      </c>
    </row>
    <row r="38" spans="1:13">
      <c r="D38" s="89"/>
      <c r="E38" s="89"/>
      <c r="F38" s="89"/>
      <c r="G38" s="89"/>
      <c r="H38" s="89"/>
      <c r="I38" s="89"/>
    </row>
    <row r="39" spans="1:13">
      <c r="D39" s="89"/>
      <c r="E39" s="89"/>
      <c r="F39" s="89"/>
      <c r="G39" s="89"/>
      <c r="H39" s="89"/>
    </row>
  </sheetData>
  <mergeCells count="24">
    <mergeCell ref="A26:A27"/>
    <mergeCell ref="B26:B27"/>
    <mergeCell ref="A30:A31"/>
    <mergeCell ref="B30:B31"/>
    <mergeCell ref="A16:A17"/>
    <mergeCell ref="B16:B17"/>
    <mergeCell ref="A20:A22"/>
    <mergeCell ref="B20:B22"/>
    <mergeCell ref="A23:A24"/>
    <mergeCell ref="B23:B24"/>
    <mergeCell ref="A8:A10"/>
    <mergeCell ref="B8:B10"/>
    <mergeCell ref="A12:A13"/>
    <mergeCell ref="B12:B13"/>
    <mergeCell ref="A14:A15"/>
    <mergeCell ref="B14:B15"/>
    <mergeCell ref="J1:M1"/>
    <mergeCell ref="A2:M2"/>
    <mergeCell ref="A3:A4"/>
    <mergeCell ref="B3:B4"/>
    <mergeCell ref="C3:C4"/>
    <mergeCell ref="D3:I3"/>
    <mergeCell ref="J3:K3"/>
    <mergeCell ref="M3:M4"/>
  </mergeCells>
  <pageMargins left="0.78740157480314965" right="0.19685039370078741" top="0" bottom="0" header="0.31496062992125984" footer="0.31496062992125984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1"/>
  <sheetViews>
    <sheetView topLeftCell="A40" workbookViewId="0">
      <selection activeCell="M10" sqref="M10"/>
    </sheetView>
  </sheetViews>
  <sheetFormatPr defaultColWidth="8.88671875" defaultRowHeight="15.6"/>
  <cols>
    <col min="1" max="1" width="7" style="46" customWidth="1"/>
    <col min="2" max="2" width="73.88671875" style="35" customWidth="1"/>
    <col min="3" max="3" width="8.88671875" style="35"/>
    <col min="4" max="8" width="9.6640625" style="35" customWidth="1"/>
    <col min="9" max="10" width="8.88671875" style="35"/>
    <col min="11" max="11" width="8.88671875" style="646"/>
    <col min="12" max="16384" width="8.88671875" style="35"/>
  </cols>
  <sheetData>
    <row r="1" spans="1:12" ht="41.4" customHeight="1">
      <c r="G1" s="1248" t="s">
        <v>488</v>
      </c>
      <c r="H1" s="1248"/>
      <c r="I1" s="1248"/>
      <c r="J1" s="1248"/>
      <c r="K1" s="1248"/>
      <c r="L1" s="36"/>
    </row>
    <row r="2" spans="1:12" ht="8.4" customHeight="1"/>
    <row r="3" spans="1:12" ht="15.6" customHeight="1">
      <c r="A3" s="1278" t="s">
        <v>473</v>
      </c>
      <c r="B3" s="1278"/>
      <c r="C3" s="1278"/>
      <c r="D3" s="1278"/>
      <c r="E3" s="1278"/>
      <c r="F3" s="1278"/>
      <c r="G3" s="1278"/>
      <c r="H3" s="1278"/>
      <c r="I3" s="1278"/>
      <c r="J3" s="1278"/>
      <c r="K3" s="643"/>
      <c r="L3" s="231"/>
    </row>
    <row r="4" spans="1:12" ht="5.4" customHeight="1">
      <c r="A4" s="47"/>
      <c r="B4" s="48"/>
      <c r="C4" s="48"/>
      <c r="D4" s="48"/>
      <c r="E4" s="48"/>
      <c r="F4" s="48"/>
      <c r="G4" s="48"/>
      <c r="H4" s="48"/>
    </row>
    <row r="5" spans="1:12" ht="12.6" customHeight="1">
      <c r="A5" s="847" t="s">
        <v>59</v>
      </c>
      <c r="B5" s="1282" t="s">
        <v>60</v>
      </c>
      <c r="C5" s="847" t="s">
        <v>61</v>
      </c>
      <c r="D5" s="1283" t="s">
        <v>62</v>
      </c>
      <c r="E5" s="1284"/>
      <c r="F5" s="1284"/>
      <c r="G5" s="1284"/>
      <c r="H5" s="1284"/>
      <c r="I5" s="1284"/>
      <c r="J5" s="1284"/>
      <c r="K5" s="1285"/>
    </row>
    <row r="6" spans="1:12">
      <c r="A6" s="847"/>
      <c r="B6" s="1282"/>
      <c r="C6" s="847"/>
      <c r="D6" s="49">
        <v>2018</v>
      </c>
      <c r="E6" s="49">
        <v>2019</v>
      </c>
      <c r="F6" s="49">
        <v>2020</v>
      </c>
      <c r="G6" s="49">
        <v>2021</v>
      </c>
      <c r="H6" s="49">
        <v>2022</v>
      </c>
      <c r="I6" s="222">
        <v>2023</v>
      </c>
      <c r="J6" s="222">
        <v>2024</v>
      </c>
      <c r="K6" s="286">
        <v>2025</v>
      </c>
    </row>
    <row r="7" spans="1:12" ht="24.6" customHeight="1">
      <c r="A7" s="1283" t="s">
        <v>63</v>
      </c>
      <c r="B7" s="1284"/>
      <c r="C7" s="1284"/>
      <c r="D7" s="1284"/>
      <c r="E7" s="1284"/>
      <c r="F7" s="1284"/>
      <c r="G7" s="1284"/>
      <c r="H7" s="1284"/>
      <c r="I7" s="1284"/>
      <c r="J7" s="1284"/>
      <c r="K7" s="1285"/>
    </row>
    <row r="8" spans="1:12" ht="25.95" customHeight="1">
      <c r="A8" s="49">
        <v>1</v>
      </c>
      <c r="B8" s="68" t="s">
        <v>68</v>
      </c>
      <c r="C8" s="44" t="s">
        <v>64</v>
      </c>
      <c r="D8" s="49">
        <v>6</v>
      </c>
      <c r="E8" s="49">
        <v>5</v>
      </c>
      <c r="F8" s="49">
        <v>2</v>
      </c>
      <c r="G8" s="49">
        <v>2</v>
      </c>
      <c r="H8" s="49">
        <v>1</v>
      </c>
      <c r="I8" s="222">
        <v>1</v>
      </c>
      <c r="J8" s="222">
        <v>1</v>
      </c>
      <c r="K8" s="644">
        <v>1</v>
      </c>
    </row>
    <row r="9" spans="1:12" ht="25.95" customHeight="1">
      <c r="A9" s="49">
        <v>2</v>
      </c>
      <c r="B9" s="68" t="s">
        <v>171</v>
      </c>
      <c r="C9" s="49" t="s">
        <v>65</v>
      </c>
      <c r="D9" s="49">
        <f>ROUND(6/344*100,1)</f>
        <v>1.7</v>
      </c>
      <c r="E9" s="60">
        <f t="shared" ref="E9" si="0">ROUND(5/344*100,1)</f>
        <v>1.5</v>
      </c>
      <c r="F9" s="60">
        <f>ROUND(2/344*100,1)</f>
        <v>0.6</v>
      </c>
      <c r="G9" s="60">
        <f>ROUND(2/344*100,1)</f>
        <v>0.6</v>
      </c>
      <c r="H9" s="60">
        <f>ROUND(1/344*100,1)</f>
        <v>0.3</v>
      </c>
      <c r="I9" s="222">
        <f>ROUND(1/344*100,1)</f>
        <v>0.3</v>
      </c>
      <c r="J9" s="222">
        <f>ROUND(1/344*100,1)</f>
        <v>0.3</v>
      </c>
      <c r="K9" s="784">
        <f>ROUND(1/344*100,1)</f>
        <v>0.3</v>
      </c>
    </row>
    <row r="10" spans="1:12" ht="22.8" customHeight="1">
      <c r="A10" s="49">
        <v>3</v>
      </c>
      <c r="B10" s="68" t="s">
        <v>69</v>
      </c>
      <c r="C10" s="49" t="s">
        <v>65</v>
      </c>
      <c r="D10" s="51">
        <f>(458/31512)*100</f>
        <v>1.4534145722264535</v>
      </c>
      <c r="E10" s="49">
        <v>1.2</v>
      </c>
      <c r="F10" s="51">
        <f>(142/31512)*100</f>
        <v>0.45062198527545066</v>
      </c>
      <c r="G10" s="51">
        <f>(295/31512)*100</f>
        <v>0.93615130743843622</v>
      </c>
      <c r="H10" s="51">
        <f>(190/31512)*100</f>
        <v>0.6029449098756029</v>
      </c>
      <c r="I10" s="51">
        <f>(150/31512)*100</f>
        <v>0.47600913937547601</v>
      </c>
      <c r="J10" s="51">
        <f>(145/31512)*100</f>
        <v>0.46014216806296016</v>
      </c>
      <c r="K10" s="51">
        <f>(145/31512)*100</f>
        <v>0.46014216806296016</v>
      </c>
    </row>
    <row r="11" spans="1:12" ht="22.8" customHeight="1">
      <c r="A11" s="49">
        <v>4</v>
      </c>
      <c r="B11" s="68" t="s">
        <v>191</v>
      </c>
      <c r="C11" s="78" t="s">
        <v>67</v>
      </c>
      <c r="D11" s="49">
        <v>1396</v>
      </c>
      <c r="E11" s="49">
        <v>500</v>
      </c>
      <c r="F11" s="49">
        <f>624.27+244.15</f>
        <v>868.42</v>
      </c>
      <c r="G11" s="49">
        <f>564+1050</f>
        <v>1614</v>
      </c>
      <c r="H11" s="49">
        <v>926.08</v>
      </c>
      <c r="I11" s="222">
        <v>5205</v>
      </c>
      <c r="J11" s="222">
        <v>5205</v>
      </c>
      <c r="K11" s="644">
        <v>5205</v>
      </c>
    </row>
    <row r="12" spans="1:12" ht="22.8" customHeight="1">
      <c r="A12" s="49">
        <v>5</v>
      </c>
      <c r="B12" s="68" t="s">
        <v>173</v>
      </c>
      <c r="C12" s="78" t="s">
        <v>66</v>
      </c>
      <c r="D12" s="49">
        <v>2</v>
      </c>
      <c r="E12" s="49">
        <v>1</v>
      </c>
      <c r="F12" s="49">
        <v>2</v>
      </c>
      <c r="G12" s="49">
        <v>5</v>
      </c>
      <c r="H12" s="352">
        <v>3</v>
      </c>
      <c r="I12" s="222">
        <v>4</v>
      </c>
      <c r="J12" s="222">
        <v>5</v>
      </c>
      <c r="K12" s="644">
        <v>2</v>
      </c>
    </row>
    <row r="13" spans="1:12" ht="19.2" customHeight="1">
      <c r="A13" s="349">
        <v>6</v>
      </c>
      <c r="B13" s="68" t="s">
        <v>879</v>
      </c>
      <c r="C13" s="349" t="s">
        <v>66</v>
      </c>
      <c r="D13" s="349" t="s">
        <v>474</v>
      </c>
      <c r="E13" s="349" t="s">
        <v>474</v>
      </c>
      <c r="F13" s="349">
        <v>1</v>
      </c>
      <c r="G13" s="349">
        <v>0</v>
      </c>
      <c r="H13" s="349" t="s">
        <v>474</v>
      </c>
      <c r="I13" s="349" t="s">
        <v>474</v>
      </c>
      <c r="J13" s="349" t="s">
        <v>474</v>
      </c>
      <c r="K13" s="644" t="s">
        <v>9</v>
      </c>
    </row>
    <row r="14" spans="1:12" ht="25.95" customHeight="1">
      <c r="A14" s="49">
        <v>7</v>
      </c>
      <c r="B14" s="68" t="s">
        <v>172</v>
      </c>
      <c r="C14" s="49" t="s">
        <v>65</v>
      </c>
      <c r="D14" s="51">
        <f>D12/46*100</f>
        <v>4.3478260869565215</v>
      </c>
      <c r="E14" s="51">
        <f t="shared" ref="E14" si="1">E12/46*100</f>
        <v>2.1739130434782608</v>
      </c>
      <c r="F14" s="51">
        <f>F12/48*100</f>
        <v>4.1666666666666661</v>
      </c>
      <c r="G14" s="51">
        <f>G12/52*100</f>
        <v>9.6153846153846168</v>
      </c>
      <c r="H14" s="51">
        <f>H12/52*100</f>
        <v>5.7692307692307692</v>
      </c>
      <c r="I14" s="51">
        <f>I12/52*100</f>
        <v>7.6923076923076925</v>
      </c>
      <c r="J14" s="51">
        <f>J12/52*100</f>
        <v>9.6153846153846168</v>
      </c>
      <c r="K14" s="51">
        <f>K12/52*100</f>
        <v>3.8461538461538463</v>
      </c>
    </row>
    <row r="15" spans="1:12" ht="25.95" customHeight="1">
      <c r="A15" s="49">
        <v>8</v>
      </c>
      <c r="B15" s="69" t="s">
        <v>105</v>
      </c>
      <c r="C15" s="49" t="s">
        <v>66</v>
      </c>
      <c r="D15" s="49">
        <v>1</v>
      </c>
      <c r="E15" s="49">
        <v>2</v>
      </c>
      <c r="F15" s="349" t="s">
        <v>474</v>
      </c>
      <c r="G15" s="349" t="s">
        <v>474</v>
      </c>
      <c r="H15" s="349" t="s">
        <v>474</v>
      </c>
      <c r="I15" s="349" t="s">
        <v>474</v>
      </c>
      <c r="J15" s="349" t="s">
        <v>474</v>
      </c>
      <c r="K15" s="644" t="s">
        <v>9</v>
      </c>
    </row>
    <row r="16" spans="1:12" ht="53.4" customHeight="1">
      <c r="A16" s="237">
        <v>9</v>
      </c>
      <c r="B16" s="69" t="s">
        <v>655</v>
      </c>
      <c r="C16" s="237" t="s">
        <v>43</v>
      </c>
      <c r="D16" s="237" t="s">
        <v>474</v>
      </c>
      <c r="E16" s="237" t="s">
        <v>474</v>
      </c>
      <c r="F16" s="237">
        <v>1</v>
      </c>
      <c r="G16" s="237" t="s">
        <v>474</v>
      </c>
      <c r="H16" s="237">
        <v>1</v>
      </c>
      <c r="I16" s="237" t="s">
        <v>474</v>
      </c>
      <c r="J16" s="237" t="s">
        <v>474</v>
      </c>
      <c r="K16" s="644" t="s">
        <v>9</v>
      </c>
    </row>
    <row r="17" spans="1:11" ht="25.95" customHeight="1">
      <c r="A17" s="1283" t="s">
        <v>113</v>
      </c>
      <c r="B17" s="1284"/>
      <c r="C17" s="1284"/>
      <c r="D17" s="1284"/>
      <c r="E17" s="1284"/>
      <c r="F17" s="1284"/>
      <c r="G17" s="1284"/>
      <c r="H17" s="1284"/>
      <c r="I17" s="1284"/>
      <c r="J17" s="1284"/>
      <c r="K17" s="1285"/>
    </row>
    <row r="18" spans="1:11" ht="27" customHeight="1">
      <c r="A18" s="49">
        <v>10</v>
      </c>
      <c r="B18" s="68" t="s">
        <v>70</v>
      </c>
      <c r="C18" s="49" t="s">
        <v>67</v>
      </c>
      <c r="D18" s="51">
        <v>45682</v>
      </c>
      <c r="E18" s="51">
        <f>'Прил.4.1 Подп.2 2019г'!D8</f>
        <v>49945.3</v>
      </c>
      <c r="F18" s="51">
        <v>130536.42</v>
      </c>
      <c r="G18" s="506">
        <v>12539.38</v>
      </c>
      <c r="H18" s="506">
        <v>15658.8</v>
      </c>
      <c r="I18" s="51">
        <v>25000</v>
      </c>
      <c r="J18" s="51">
        <v>26000</v>
      </c>
      <c r="K18" s="51">
        <v>26000</v>
      </c>
    </row>
    <row r="19" spans="1:11" ht="16.95" customHeight="1">
      <c r="A19" s="49">
        <v>11</v>
      </c>
      <c r="B19" s="68" t="s">
        <v>71</v>
      </c>
      <c r="C19" s="49" t="s">
        <v>73</v>
      </c>
      <c r="D19" s="49">
        <v>4.9749999999999996</v>
      </c>
      <c r="E19" s="214">
        <v>2.0299999999999998</v>
      </c>
      <c r="F19" s="214">
        <v>25.465</v>
      </c>
      <c r="G19" s="507">
        <v>2.9289999999999998</v>
      </c>
      <c r="H19" s="49">
        <v>3.7759999999999998</v>
      </c>
      <c r="I19" s="222">
        <v>2.2000000000000002</v>
      </c>
      <c r="J19" s="222">
        <v>2.2000000000000002</v>
      </c>
      <c r="K19" s="286">
        <v>2.2000000000000002</v>
      </c>
    </row>
    <row r="20" spans="1:11" ht="16.95" customHeight="1">
      <c r="A20" s="94">
        <v>12</v>
      </c>
      <c r="B20" s="68" t="s">
        <v>573</v>
      </c>
      <c r="C20" s="94" t="s">
        <v>215</v>
      </c>
      <c r="D20" s="235" t="s">
        <v>474</v>
      </c>
      <c r="E20" s="51">
        <v>851</v>
      </c>
      <c r="F20" s="51" t="s">
        <v>474</v>
      </c>
      <c r="G20" s="51" t="s">
        <v>474</v>
      </c>
      <c r="H20" s="235" t="s">
        <v>474</v>
      </c>
      <c r="I20" s="235" t="s">
        <v>474</v>
      </c>
      <c r="J20" s="51" t="s">
        <v>474</v>
      </c>
      <c r="K20" s="51" t="s">
        <v>474</v>
      </c>
    </row>
    <row r="21" spans="1:11" ht="16.95" customHeight="1">
      <c r="A21" s="211">
        <v>13</v>
      </c>
      <c r="B21" s="68" t="s">
        <v>431</v>
      </c>
      <c r="C21" s="211" t="s">
        <v>43</v>
      </c>
      <c r="D21" s="235" t="s">
        <v>474</v>
      </c>
      <c r="E21" s="227">
        <v>1</v>
      </c>
      <c r="F21" s="51" t="s">
        <v>474</v>
      </c>
      <c r="G21" s="51" t="s">
        <v>474</v>
      </c>
      <c r="H21" s="222" t="s">
        <v>474</v>
      </c>
      <c r="I21" s="222" t="s">
        <v>474</v>
      </c>
      <c r="J21" s="51" t="s">
        <v>474</v>
      </c>
      <c r="K21" s="51" t="s">
        <v>474</v>
      </c>
    </row>
    <row r="22" spans="1:11" ht="16.95" customHeight="1">
      <c r="A22" s="229">
        <v>14</v>
      </c>
      <c r="B22" s="68" t="s">
        <v>563</v>
      </c>
      <c r="C22" s="229" t="s">
        <v>43</v>
      </c>
      <c r="D22" s="235" t="s">
        <v>474</v>
      </c>
      <c r="E22" s="227" t="s">
        <v>474</v>
      </c>
      <c r="F22" s="51">
        <v>60</v>
      </c>
      <c r="G22" s="51" t="s">
        <v>474</v>
      </c>
      <c r="H22" s="577" t="s">
        <v>474</v>
      </c>
      <c r="I22" s="51" t="s">
        <v>474</v>
      </c>
      <c r="J22" s="51" t="s">
        <v>474</v>
      </c>
      <c r="K22" s="51" t="s">
        <v>474</v>
      </c>
    </row>
    <row r="23" spans="1:11" ht="16.95" customHeight="1">
      <c r="A23" s="229">
        <v>15</v>
      </c>
      <c r="B23" s="68" t="s">
        <v>72</v>
      </c>
      <c r="C23" s="49" t="s">
        <v>43</v>
      </c>
      <c r="D23" s="49">
        <v>3</v>
      </c>
      <c r="E23" s="49">
        <v>1</v>
      </c>
      <c r="F23" s="235" t="s">
        <v>474</v>
      </c>
      <c r="G23" s="427" t="s">
        <v>474</v>
      </c>
      <c r="H23" s="577" t="s">
        <v>474</v>
      </c>
      <c r="I23" s="51" t="s">
        <v>474</v>
      </c>
      <c r="J23" s="51" t="s">
        <v>474</v>
      </c>
      <c r="K23" s="51" t="s">
        <v>474</v>
      </c>
    </row>
    <row r="24" spans="1:11" ht="16.95" customHeight="1">
      <c r="A24" s="229">
        <v>15</v>
      </c>
      <c r="B24" s="68" t="s">
        <v>572</v>
      </c>
      <c r="C24" s="229" t="s">
        <v>43</v>
      </c>
      <c r="D24" s="235" t="s">
        <v>474</v>
      </c>
      <c r="E24" s="235" t="s">
        <v>474</v>
      </c>
      <c r="F24" s="229">
        <v>38</v>
      </c>
      <c r="G24" s="235" t="s">
        <v>474</v>
      </c>
      <c r="H24" s="235" t="s">
        <v>474</v>
      </c>
      <c r="I24" s="235" t="s">
        <v>474</v>
      </c>
      <c r="J24" s="235" t="s">
        <v>474</v>
      </c>
      <c r="K24" s="51" t="s">
        <v>474</v>
      </c>
    </row>
    <row r="25" spans="1:11" ht="16.95" customHeight="1">
      <c r="A25" s="229">
        <v>16</v>
      </c>
      <c r="B25" s="68" t="s">
        <v>114</v>
      </c>
      <c r="C25" s="49" t="s">
        <v>43</v>
      </c>
      <c r="D25" s="49">
        <v>2</v>
      </c>
      <c r="E25" s="349" t="s">
        <v>474</v>
      </c>
      <c r="F25" s="284" t="s">
        <v>474</v>
      </c>
      <c r="G25" s="284">
        <v>1</v>
      </c>
      <c r="H25" s="284" t="s">
        <v>474</v>
      </c>
      <c r="I25" s="284" t="s">
        <v>474</v>
      </c>
      <c r="J25" s="284" t="s">
        <v>474</v>
      </c>
      <c r="K25" s="51" t="s">
        <v>474</v>
      </c>
    </row>
    <row r="26" spans="1:11" ht="16.95" customHeight="1">
      <c r="A26" s="1279">
        <v>17</v>
      </c>
      <c r="B26" s="68" t="s">
        <v>445</v>
      </c>
      <c r="C26" s="215"/>
      <c r="D26" s="215"/>
      <c r="E26" s="215"/>
      <c r="F26" s="215"/>
      <c r="G26" s="215"/>
      <c r="H26" s="215"/>
      <c r="I26" s="222"/>
      <c r="J26" s="222"/>
      <c r="K26" s="51" t="s">
        <v>474</v>
      </c>
    </row>
    <row r="27" spans="1:11" ht="16.95" customHeight="1">
      <c r="A27" s="1280"/>
      <c r="B27" s="68" t="s">
        <v>444</v>
      </c>
      <c r="C27" s="211" t="s">
        <v>43</v>
      </c>
      <c r="D27" s="222" t="s">
        <v>474</v>
      </c>
      <c r="E27" s="211">
        <v>1</v>
      </c>
      <c r="F27" s="222" t="s">
        <v>474</v>
      </c>
      <c r="G27" s="222" t="s">
        <v>474</v>
      </c>
      <c r="H27" s="222" t="s">
        <v>474</v>
      </c>
      <c r="I27" s="222" t="s">
        <v>474</v>
      </c>
      <c r="J27" s="222" t="s">
        <v>474</v>
      </c>
      <c r="K27" s="51" t="s">
        <v>474</v>
      </c>
    </row>
    <row r="28" spans="1:11" ht="16.95" customHeight="1">
      <c r="A28" s="1280"/>
      <c r="B28" s="68" t="s">
        <v>442</v>
      </c>
      <c r="C28" s="211" t="s">
        <v>43</v>
      </c>
      <c r="D28" s="222" t="s">
        <v>474</v>
      </c>
      <c r="E28" s="211">
        <v>5</v>
      </c>
      <c r="F28" s="222" t="s">
        <v>474</v>
      </c>
      <c r="G28" s="222" t="s">
        <v>474</v>
      </c>
      <c r="H28" s="222" t="s">
        <v>474</v>
      </c>
      <c r="I28" s="222" t="s">
        <v>474</v>
      </c>
      <c r="J28" s="222" t="s">
        <v>474</v>
      </c>
      <c r="K28" s="51" t="s">
        <v>474</v>
      </c>
    </row>
    <row r="29" spans="1:11" ht="16.95" customHeight="1">
      <c r="A29" s="1280"/>
      <c r="B29" s="68" t="s">
        <v>443</v>
      </c>
      <c r="C29" s="211" t="s">
        <v>43</v>
      </c>
      <c r="D29" s="222" t="s">
        <v>474</v>
      </c>
      <c r="E29" s="211">
        <v>1</v>
      </c>
      <c r="F29" s="222" t="s">
        <v>474</v>
      </c>
      <c r="G29" s="222" t="s">
        <v>474</v>
      </c>
      <c r="H29" s="222" t="s">
        <v>474</v>
      </c>
      <c r="I29" s="222" t="s">
        <v>474</v>
      </c>
      <c r="J29" s="222" t="s">
        <v>474</v>
      </c>
      <c r="K29" s="51" t="s">
        <v>474</v>
      </c>
    </row>
    <row r="30" spans="1:11" ht="16.95" customHeight="1">
      <c r="A30" s="1280"/>
      <c r="B30" s="68" t="s">
        <v>454</v>
      </c>
      <c r="C30" s="216" t="s">
        <v>43</v>
      </c>
      <c r="D30" s="222" t="s">
        <v>474</v>
      </c>
      <c r="E30" s="216">
        <v>3</v>
      </c>
      <c r="F30" s="222" t="s">
        <v>474</v>
      </c>
      <c r="G30" s="222" t="s">
        <v>474</v>
      </c>
      <c r="H30" s="222" t="s">
        <v>474</v>
      </c>
      <c r="I30" s="222" t="s">
        <v>474</v>
      </c>
      <c r="J30" s="222" t="s">
        <v>474</v>
      </c>
      <c r="K30" s="51" t="s">
        <v>474</v>
      </c>
    </row>
    <row r="31" spans="1:11" ht="16.8" customHeight="1">
      <c r="A31" s="1280"/>
      <c r="B31" s="50" t="s">
        <v>574</v>
      </c>
      <c r="C31" s="211" t="s">
        <v>43</v>
      </c>
      <c r="D31" s="222" t="s">
        <v>474</v>
      </c>
      <c r="E31" s="211">
        <v>3</v>
      </c>
      <c r="F31" s="222" t="s">
        <v>474</v>
      </c>
      <c r="G31" s="222" t="s">
        <v>474</v>
      </c>
      <c r="H31" s="222" t="s">
        <v>474</v>
      </c>
      <c r="I31" s="222" t="s">
        <v>474</v>
      </c>
      <c r="J31" s="222" t="s">
        <v>474</v>
      </c>
      <c r="K31" s="51" t="s">
        <v>474</v>
      </c>
    </row>
    <row r="32" spans="1:11">
      <c r="A32" s="1280"/>
      <c r="B32" s="287" t="s">
        <v>700</v>
      </c>
      <c r="C32" s="284" t="s">
        <v>43</v>
      </c>
      <c r="D32" s="284" t="s">
        <v>474</v>
      </c>
      <c r="E32" s="284" t="s">
        <v>474</v>
      </c>
      <c r="F32" s="286">
        <v>1</v>
      </c>
      <c r="G32" s="284" t="s">
        <v>474</v>
      </c>
      <c r="H32" s="284" t="s">
        <v>474</v>
      </c>
      <c r="I32" s="284" t="s">
        <v>474</v>
      </c>
      <c r="J32" s="284" t="s">
        <v>474</v>
      </c>
      <c r="K32" s="51" t="s">
        <v>474</v>
      </c>
    </row>
    <row r="33" spans="1:11">
      <c r="A33" s="1280"/>
      <c r="B33" s="287" t="s">
        <v>701</v>
      </c>
      <c r="C33" s="284" t="s">
        <v>43</v>
      </c>
      <c r="D33" s="284" t="s">
        <v>474</v>
      </c>
      <c r="E33" s="284" t="s">
        <v>474</v>
      </c>
      <c r="F33" s="286">
        <v>20</v>
      </c>
      <c r="G33" s="284" t="s">
        <v>474</v>
      </c>
      <c r="H33" s="284" t="s">
        <v>474</v>
      </c>
      <c r="I33" s="284" t="s">
        <v>474</v>
      </c>
      <c r="J33" s="284" t="s">
        <v>474</v>
      </c>
      <c r="K33" s="51" t="s">
        <v>474</v>
      </c>
    </row>
    <row r="34" spans="1:11" ht="27">
      <c r="A34" s="1281"/>
      <c r="B34" s="50" t="s">
        <v>702</v>
      </c>
      <c r="C34" s="284" t="s">
        <v>215</v>
      </c>
      <c r="D34" s="284" t="s">
        <v>474</v>
      </c>
      <c r="E34" s="284" t="s">
        <v>474</v>
      </c>
      <c r="F34" s="285">
        <v>1150</v>
      </c>
      <c r="G34" s="284" t="s">
        <v>474</v>
      </c>
      <c r="H34" s="284" t="s">
        <v>474</v>
      </c>
      <c r="I34" s="284" t="s">
        <v>474</v>
      </c>
      <c r="J34" s="284" t="s">
        <v>474</v>
      </c>
      <c r="K34" s="51" t="s">
        <v>474</v>
      </c>
    </row>
    <row r="35" spans="1:11" s="48" customFormat="1" ht="13.2">
      <c r="A35" s="346">
        <v>18</v>
      </c>
      <c r="B35" s="50" t="s">
        <v>711</v>
      </c>
      <c r="C35" s="348"/>
      <c r="D35" s="577" t="s">
        <v>474</v>
      </c>
      <c r="E35" s="577" t="s">
        <v>474</v>
      </c>
      <c r="F35" s="286" t="s">
        <v>474</v>
      </c>
      <c r="G35" s="577" t="s">
        <v>474</v>
      </c>
      <c r="H35" s="577" t="s">
        <v>474</v>
      </c>
      <c r="I35" s="577" t="s">
        <v>474</v>
      </c>
      <c r="J35" s="577" t="s">
        <v>474</v>
      </c>
      <c r="K35" s="51" t="s">
        <v>474</v>
      </c>
    </row>
    <row r="36" spans="1:11" s="48" customFormat="1" ht="13.2">
      <c r="A36" s="346"/>
      <c r="B36" s="50" t="s">
        <v>867</v>
      </c>
      <c r="C36" s="346" t="s">
        <v>43</v>
      </c>
      <c r="D36" s="577" t="s">
        <v>474</v>
      </c>
      <c r="E36" s="577" t="s">
        <v>474</v>
      </c>
      <c r="F36" s="346">
        <v>8</v>
      </c>
      <c r="G36" s="577" t="s">
        <v>474</v>
      </c>
      <c r="H36" s="577" t="s">
        <v>474</v>
      </c>
      <c r="I36" s="577" t="s">
        <v>474</v>
      </c>
      <c r="J36" s="577" t="s">
        <v>474</v>
      </c>
      <c r="K36" s="51" t="s">
        <v>474</v>
      </c>
    </row>
    <row r="37" spans="1:11" s="48" customFormat="1" ht="13.95" customHeight="1">
      <c r="A37" s="346"/>
      <c r="B37" s="50" t="s">
        <v>871</v>
      </c>
      <c r="C37" s="346" t="s">
        <v>73</v>
      </c>
      <c r="D37" s="577" t="s">
        <v>474</v>
      </c>
      <c r="E37" s="577" t="s">
        <v>474</v>
      </c>
      <c r="F37" s="346">
        <v>0.32</v>
      </c>
      <c r="G37" s="577" t="s">
        <v>474</v>
      </c>
      <c r="H37" s="577" t="s">
        <v>474</v>
      </c>
      <c r="I37" s="577" t="s">
        <v>474</v>
      </c>
      <c r="J37" s="577" t="s">
        <v>474</v>
      </c>
      <c r="K37" s="51" t="s">
        <v>474</v>
      </c>
    </row>
    <row r="38" spans="1:11" s="48" customFormat="1" ht="26.4">
      <c r="A38" s="346"/>
      <c r="B38" s="50" t="s">
        <v>870</v>
      </c>
      <c r="C38" s="347" t="s">
        <v>215</v>
      </c>
      <c r="D38" s="577" t="s">
        <v>474</v>
      </c>
      <c r="E38" s="577" t="s">
        <v>474</v>
      </c>
      <c r="F38" s="346">
        <v>640</v>
      </c>
      <c r="G38" s="577" t="s">
        <v>474</v>
      </c>
      <c r="H38" s="577" t="s">
        <v>474</v>
      </c>
      <c r="I38" s="577" t="s">
        <v>474</v>
      </c>
      <c r="J38" s="577" t="s">
        <v>474</v>
      </c>
      <c r="K38" s="51" t="s">
        <v>474</v>
      </c>
    </row>
    <row r="39" spans="1:11" s="48" customFormat="1" ht="26.4">
      <c r="A39" s="346"/>
      <c r="B39" s="50" t="s">
        <v>996</v>
      </c>
      <c r="C39" s="347" t="s">
        <v>215</v>
      </c>
      <c r="D39" s="577" t="s">
        <v>474</v>
      </c>
      <c r="E39" s="577" t="s">
        <v>474</v>
      </c>
      <c r="F39" s="346">
        <v>674.7</v>
      </c>
      <c r="G39" s="577" t="s">
        <v>474</v>
      </c>
      <c r="H39" s="577" t="s">
        <v>474</v>
      </c>
      <c r="I39" s="577" t="s">
        <v>474</v>
      </c>
      <c r="J39" s="577" t="s">
        <v>474</v>
      </c>
      <c r="K39" s="51" t="s">
        <v>474</v>
      </c>
    </row>
    <row r="40" spans="1:11" s="48" customFormat="1" ht="13.2">
      <c r="A40" s="346"/>
      <c r="B40" s="50" t="s">
        <v>997</v>
      </c>
      <c r="C40" s="347" t="s">
        <v>215</v>
      </c>
      <c r="D40" s="577" t="s">
        <v>474</v>
      </c>
      <c r="E40" s="577" t="s">
        <v>474</v>
      </c>
      <c r="F40" s="346">
        <v>590</v>
      </c>
      <c r="G40" s="577" t="s">
        <v>474</v>
      </c>
      <c r="H40" s="577" t="s">
        <v>474</v>
      </c>
      <c r="I40" s="577" t="s">
        <v>474</v>
      </c>
      <c r="J40" s="577" t="s">
        <v>474</v>
      </c>
      <c r="K40" s="51" t="s">
        <v>474</v>
      </c>
    </row>
    <row r="41" spans="1:11" s="48" customFormat="1" ht="13.2">
      <c r="A41" s="346"/>
      <c r="B41" s="50" t="s">
        <v>868</v>
      </c>
      <c r="C41" s="347" t="s">
        <v>850</v>
      </c>
      <c r="D41" s="577" t="s">
        <v>474</v>
      </c>
      <c r="E41" s="577" t="s">
        <v>474</v>
      </c>
      <c r="F41" s="346">
        <v>50</v>
      </c>
      <c r="G41" s="577" t="s">
        <v>474</v>
      </c>
      <c r="H41" s="577" t="s">
        <v>474</v>
      </c>
      <c r="I41" s="577" t="s">
        <v>474</v>
      </c>
      <c r="J41" s="577" t="s">
        <v>474</v>
      </c>
      <c r="K41" s="51" t="s">
        <v>474</v>
      </c>
    </row>
    <row r="42" spans="1:11" s="48" customFormat="1" ht="17.399999999999999" customHeight="1">
      <c r="A42" s="346"/>
      <c r="B42" s="50" t="s">
        <v>869</v>
      </c>
      <c r="C42" s="347" t="s">
        <v>43</v>
      </c>
      <c r="D42" s="577" t="s">
        <v>474</v>
      </c>
      <c r="E42" s="577" t="s">
        <v>474</v>
      </c>
      <c r="F42" s="346">
        <v>1</v>
      </c>
      <c r="G42" s="577" t="s">
        <v>474</v>
      </c>
      <c r="H42" s="577" t="s">
        <v>474</v>
      </c>
      <c r="I42" s="577" t="s">
        <v>474</v>
      </c>
      <c r="J42" s="577" t="s">
        <v>474</v>
      </c>
      <c r="K42" s="51" t="s">
        <v>474</v>
      </c>
    </row>
    <row r="43" spans="1:11" s="48" customFormat="1" ht="17.399999999999999" customHeight="1">
      <c r="A43" s="346"/>
      <c r="B43" s="50" t="s">
        <v>872</v>
      </c>
      <c r="C43" s="347" t="s">
        <v>43</v>
      </c>
      <c r="D43" s="577" t="s">
        <v>474</v>
      </c>
      <c r="E43" s="577" t="s">
        <v>474</v>
      </c>
      <c r="F43" s="346">
        <v>12</v>
      </c>
      <c r="G43" s="577" t="s">
        <v>474</v>
      </c>
      <c r="H43" s="577" t="s">
        <v>474</v>
      </c>
      <c r="I43" s="577" t="s">
        <v>474</v>
      </c>
      <c r="J43" s="577" t="s">
        <v>474</v>
      </c>
      <c r="K43" s="51" t="s">
        <v>474</v>
      </c>
    </row>
    <row r="44" spans="1:11" s="48" customFormat="1" ht="17.399999999999999" customHeight="1">
      <c r="A44" s="346"/>
      <c r="B44" s="50" t="s">
        <v>873</v>
      </c>
      <c r="C44" s="347" t="s">
        <v>43</v>
      </c>
      <c r="D44" s="577" t="s">
        <v>474</v>
      </c>
      <c r="E44" s="577" t="s">
        <v>474</v>
      </c>
      <c r="F44" s="346">
        <v>45</v>
      </c>
      <c r="G44" s="577" t="s">
        <v>474</v>
      </c>
      <c r="H44" s="577" t="s">
        <v>474</v>
      </c>
      <c r="I44" s="577" t="s">
        <v>474</v>
      </c>
      <c r="J44" s="577" t="s">
        <v>474</v>
      </c>
      <c r="K44" s="51" t="s">
        <v>474</v>
      </c>
    </row>
    <row r="45" spans="1:11" s="48" customFormat="1" ht="13.2">
      <c r="A45" s="346"/>
      <c r="B45" s="50" t="s">
        <v>874</v>
      </c>
      <c r="C45" s="352" t="s">
        <v>165</v>
      </c>
      <c r="D45" s="577" t="s">
        <v>474</v>
      </c>
      <c r="E45" s="577" t="s">
        <v>474</v>
      </c>
      <c r="F45" s="352">
        <v>360</v>
      </c>
      <c r="G45" s="577" t="s">
        <v>474</v>
      </c>
      <c r="H45" s="577" t="s">
        <v>474</v>
      </c>
      <c r="I45" s="577" t="s">
        <v>474</v>
      </c>
      <c r="J45" s="577" t="s">
        <v>474</v>
      </c>
      <c r="K45" s="51" t="s">
        <v>474</v>
      </c>
    </row>
    <row r="46" spans="1:11" s="48" customFormat="1" ht="17.399999999999999" customHeight="1">
      <c r="A46" s="346"/>
      <c r="B46" s="50" t="s">
        <v>875</v>
      </c>
      <c r="C46" s="347" t="s">
        <v>43</v>
      </c>
      <c r="D46" s="577" t="s">
        <v>474</v>
      </c>
      <c r="E46" s="577" t="s">
        <v>474</v>
      </c>
      <c r="F46" s="346">
        <v>1</v>
      </c>
      <c r="G46" s="577" t="s">
        <v>474</v>
      </c>
      <c r="H46" s="577" t="s">
        <v>474</v>
      </c>
      <c r="I46" s="577" t="s">
        <v>474</v>
      </c>
      <c r="J46" s="577" t="s">
        <v>474</v>
      </c>
      <c r="K46" s="51" t="s">
        <v>474</v>
      </c>
    </row>
    <row r="47" spans="1:11" s="48" customFormat="1" ht="19.2" customHeight="1">
      <c r="A47" s="346">
        <v>19</v>
      </c>
      <c r="B47" s="50" t="s">
        <v>788</v>
      </c>
      <c r="C47" s="347" t="s">
        <v>43</v>
      </c>
      <c r="D47" s="577" t="s">
        <v>474</v>
      </c>
      <c r="E47" s="577" t="s">
        <v>474</v>
      </c>
      <c r="F47" s="346">
        <v>40</v>
      </c>
      <c r="G47" s="577" t="s">
        <v>474</v>
      </c>
      <c r="H47" s="577" t="s">
        <v>474</v>
      </c>
      <c r="I47" s="577" t="s">
        <v>474</v>
      </c>
      <c r="J47" s="577" t="s">
        <v>474</v>
      </c>
      <c r="K47" s="51" t="s">
        <v>474</v>
      </c>
    </row>
    <row r="48" spans="1:11" s="48" customFormat="1" ht="19.2" customHeight="1">
      <c r="A48" s="505">
        <v>20</v>
      </c>
      <c r="B48" s="50" t="s">
        <v>1050</v>
      </c>
      <c r="C48" s="505" t="s">
        <v>43</v>
      </c>
      <c r="D48" s="577" t="s">
        <v>474</v>
      </c>
      <c r="E48" s="577" t="s">
        <v>474</v>
      </c>
      <c r="F48" s="577" t="s">
        <v>474</v>
      </c>
      <c r="G48" s="505">
        <v>1</v>
      </c>
      <c r="H48" s="577" t="s">
        <v>474</v>
      </c>
      <c r="I48" s="577" t="s">
        <v>474</v>
      </c>
      <c r="J48" s="577" t="s">
        <v>474</v>
      </c>
      <c r="K48" s="51" t="s">
        <v>474</v>
      </c>
    </row>
    <row r="49" spans="1:11" s="48" customFormat="1" ht="19.2" customHeight="1">
      <c r="A49" s="505">
        <v>21</v>
      </c>
      <c r="B49" s="348" t="s">
        <v>565</v>
      </c>
      <c r="C49" s="505" t="s">
        <v>1051</v>
      </c>
      <c r="D49" s="577" t="s">
        <v>474</v>
      </c>
      <c r="E49" s="577" t="s">
        <v>474</v>
      </c>
      <c r="F49" s="577" t="s">
        <v>474</v>
      </c>
      <c r="G49" s="505">
        <v>519</v>
      </c>
      <c r="H49" s="352">
        <v>0</v>
      </c>
      <c r="I49" s="577" t="s">
        <v>474</v>
      </c>
      <c r="J49" s="577" t="s">
        <v>474</v>
      </c>
      <c r="K49" s="51" t="s">
        <v>474</v>
      </c>
    </row>
    <row r="50" spans="1:11" s="48" customFormat="1" ht="19.2" customHeight="1">
      <c r="A50" s="505">
        <v>22</v>
      </c>
      <c r="B50" s="348" t="s">
        <v>1034</v>
      </c>
      <c r="C50" s="505" t="s">
        <v>43</v>
      </c>
      <c r="D50" s="577" t="s">
        <v>474</v>
      </c>
      <c r="E50" s="577" t="s">
        <v>474</v>
      </c>
      <c r="F50" s="577" t="s">
        <v>474</v>
      </c>
      <c r="G50" s="505">
        <v>4</v>
      </c>
      <c r="H50" s="577" t="s">
        <v>474</v>
      </c>
      <c r="I50" s="577" t="s">
        <v>474</v>
      </c>
      <c r="J50" s="577" t="s">
        <v>474</v>
      </c>
      <c r="K50" s="51" t="s">
        <v>474</v>
      </c>
    </row>
    <row r="51" spans="1:11" s="48" customFormat="1" ht="39.6">
      <c r="A51" s="582">
        <v>23</v>
      </c>
      <c r="B51" s="50" t="s">
        <v>1096</v>
      </c>
      <c r="C51" s="582" t="s">
        <v>66</v>
      </c>
      <c r="D51" s="582" t="s">
        <v>474</v>
      </c>
      <c r="E51" s="582" t="s">
        <v>474</v>
      </c>
      <c r="F51" s="582" t="s">
        <v>474</v>
      </c>
      <c r="G51" s="582" t="s">
        <v>474</v>
      </c>
      <c r="H51" s="352">
        <v>10</v>
      </c>
      <c r="I51" s="582" t="s">
        <v>474</v>
      </c>
      <c r="J51" s="582" t="s">
        <v>474</v>
      </c>
      <c r="K51" s="51" t="s">
        <v>474</v>
      </c>
    </row>
    <row r="52" spans="1:11" s="48" customFormat="1" ht="19.8" customHeight="1">
      <c r="A52" s="747">
        <v>24</v>
      </c>
      <c r="B52" s="348" t="s">
        <v>1172</v>
      </c>
      <c r="C52" s="747" t="s">
        <v>43</v>
      </c>
      <c r="D52" s="747" t="s">
        <v>474</v>
      </c>
      <c r="E52" s="747" t="s">
        <v>474</v>
      </c>
      <c r="F52" s="747" t="s">
        <v>474</v>
      </c>
      <c r="G52" s="747" t="s">
        <v>474</v>
      </c>
      <c r="H52" s="747">
        <v>7</v>
      </c>
      <c r="I52" s="747" t="s">
        <v>474</v>
      </c>
      <c r="J52" s="747" t="s">
        <v>474</v>
      </c>
      <c r="K52" s="51" t="s">
        <v>474</v>
      </c>
    </row>
    <row r="53" spans="1:11" s="48" customFormat="1" ht="26.4">
      <c r="A53" s="747">
        <v>25</v>
      </c>
      <c r="B53" s="50" t="s">
        <v>672</v>
      </c>
      <c r="C53" s="747" t="s">
        <v>43</v>
      </c>
      <c r="D53" s="747" t="s">
        <v>474</v>
      </c>
      <c r="E53" s="747" t="s">
        <v>474</v>
      </c>
      <c r="F53" s="747" t="s">
        <v>474</v>
      </c>
      <c r="G53" s="747" t="s">
        <v>474</v>
      </c>
      <c r="H53" s="352">
        <v>2</v>
      </c>
      <c r="I53" s="747">
        <v>2</v>
      </c>
      <c r="J53" s="747">
        <v>1</v>
      </c>
      <c r="K53" s="784">
        <v>1</v>
      </c>
    </row>
    <row r="54" spans="1:11" s="48" customFormat="1" ht="13.2">
      <c r="A54" s="47"/>
      <c r="K54" s="646"/>
    </row>
    <row r="55" spans="1:11" s="48" customFormat="1" ht="13.2">
      <c r="A55" s="47"/>
      <c r="K55" s="646"/>
    </row>
    <row r="56" spans="1:11" s="48" customFormat="1" ht="13.2">
      <c r="A56" s="47"/>
      <c r="K56" s="646"/>
    </row>
    <row r="57" spans="1:11" s="48" customFormat="1" ht="13.2">
      <c r="A57" s="47"/>
      <c r="K57" s="646"/>
    </row>
    <row r="58" spans="1:11" s="48" customFormat="1" ht="13.2">
      <c r="A58" s="47"/>
      <c r="K58" s="646"/>
    </row>
    <row r="59" spans="1:11" s="48" customFormat="1" ht="13.2">
      <c r="A59" s="47"/>
      <c r="K59" s="646"/>
    </row>
    <row r="60" spans="1:11" s="48" customFormat="1" ht="13.2">
      <c r="A60" s="47"/>
      <c r="K60" s="646"/>
    </row>
    <row r="61" spans="1:11" s="48" customFormat="1" ht="13.2">
      <c r="A61" s="47"/>
      <c r="K61" s="646"/>
    </row>
    <row r="62" spans="1:11" s="48" customFormat="1" ht="13.2">
      <c r="A62" s="47"/>
      <c r="K62" s="646"/>
    </row>
    <row r="63" spans="1:11" s="48" customFormat="1" ht="13.2">
      <c r="A63" s="47"/>
      <c r="K63" s="646"/>
    </row>
    <row r="64" spans="1:11" s="48" customFormat="1" ht="13.2">
      <c r="A64" s="47"/>
      <c r="K64" s="646"/>
    </row>
    <row r="65" spans="1:11" s="48" customFormat="1" ht="13.2">
      <c r="A65" s="47"/>
      <c r="K65" s="646"/>
    </row>
    <row r="66" spans="1:11" s="48" customFormat="1" ht="13.2">
      <c r="A66" s="47"/>
      <c r="K66" s="646"/>
    </row>
    <row r="67" spans="1:11" s="48" customFormat="1" ht="13.2">
      <c r="A67" s="47"/>
      <c r="K67" s="646"/>
    </row>
    <row r="68" spans="1:11" s="48" customFormat="1" ht="13.2">
      <c r="A68" s="47"/>
      <c r="K68" s="646"/>
    </row>
    <row r="69" spans="1:11" s="48" customFormat="1" ht="13.2">
      <c r="A69" s="47"/>
      <c r="K69" s="646"/>
    </row>
    <row r="70" spans="1:11" s="48" customFormat="1" ht="13.2">
      <c r="A70" s="47"/>
      <c r="K70" s="646"/>
    </row>
    <row r="71" spans="1:11" s="48" customFormat="1" ht="13.2">
      <c r="A71" s="47"/>
      <c r="K71" s="646"/>
    </row>
    <row r="72" spans="1:11" s="48" customFormat="1" ht="13.2">
      <c r="A72" s="47"/>
      <c r="K72" s="646"/>
    </row>
    <row r="73" spans="1:11" s="48" customFormat="1" ht="13.2">
      <c r="A73" s="47"/>
      <c r="K73" s="646"/>
    </row>
    <row r="74" spans="1:11" s="48" customFormat="1" ht="13.2">
      <c r="A74" s="47"/>
      <c r="K74" s="646"/>
    </row>
    <row r="75" spans="1:11" s="48" customFormat="1" ht="13.2">
      <c r="A75" s="47"/>
      <c r="K75" s="646"/>
    </row>
    <row r="76" spans="1:11" s="48" customFormat="1" ht="13.2">
      <c r="A76" s="47"/>
      <c r="K76" s="646"/>
    </row>
    <row r="77" spans="1:11" s="48" customFormat="1" ht="13.2">
      <c r="A77" s="47"/>
      <c r="K77" s="646"/>
    </row>
    <row r="78" spans="1:11" s="48" customFormat="1" ht="13.2">
      <c r="A78" s="47"/>
      <c r="K78" s="646"/>
    </row>
    <row r="79" spans="1:11" s="48" customFormat="1" ht="13.2">
      <c r="A79" s="47"/>
      <c r="K79" s="646"/>
    </row>
    <row r="80" spans="1:11" s="48" customFormat="1" ht="13.2">
      <c r="A80" s="47"/>
      <c r="K80" s="646"/>
    </row>
    <row r="81" spans="1:11" s="48" customFormat="1" ht="13.2">
      <c r="A81" s="47"/>
      <c r="K81" s="646"/>
    </row>
    <row r="82" spans="1:11" s="48" customFormat="1" ht="13.2">
      <c r="A82" s="47"/>
      <c r="K82" s="646"/>
    </row>
    <row r="83" spans="1:11" s="48" customFormat="1" ht="13.2">
      <c r="A83" s="47"/>
      <c r="K83" s="646"/>
    </row>
    <row r="84" spans="1:11" s="48" customFormat="1" ht="13.2">
      <c r="A84" s="47"/>
      <c r="K84" s="646"/>
    </row>
    <row r="85" spans="1:11" s="48" customFormat="1" ht="13.2">
      <c r="A85" s="47"/>
      <c r="K85" s="646"/>
    </row>
    <row r="86" spans="1:11" s="48" customFormat="1" ht="13.2">
      <c r="A86" s="47"/>
      <c r="K86" s="646"/>
    </row>
    <row r="87" spans="1:11" s="48" customFormat="1" ht="13.2">
      <c r="A87" s="47"/>
      <c r="K87" s="646"/>
    </row>
    <row r="88" spans="1:11" s="48" customFormat="1" ht="13.2">
      <c r="A88" s="47"/>
      <c r="K88" s="646"/>
    </row>
    <row r="89" spans="1:11" s="48" customFormat="1" ht="13.2">
      <c r="A89" s="47"/>
      <c r="K89" s="646"/>
    </row>
    <row r="90" spans="1:11" s="48" customFormat="1" ht="13.2">
      <c r="A90" s="47"/>
      <c r="K90" s="646"/>
    </row>
    <row r="91" spans="1:11" s="48" customFormat="1" ht="13.2">
      <c r="A91" s="47"/>
      <c r="K91" s="646"/>
    </row>
    <row r="92" spans="1:11" s="48" customFormat="1" ht="13.2">
      <c r="A92" s="47"/>
      <c r="K92" s="646"/>
    </row>
    <row r="93" spans="1:11" s="48" customFormat="1" ht="13.2">
      <c r="A93" s="47"/>
      <c r="K93" s="646"/>
    </row>
    <row r="94" spans="1:11" s="48" customFormat="1" ht="13.2">
      <c r="A94" s="47"/>
      <c r="K94" s="646"/>
    </row>
    <row r="95" spans="1:11" s="48" customFormat="1" ht="13.2">
      <c r="A95" s="47"/>
      <c r="K95" s="646"/>
    </row>
    <row r="96" spans="1:11" s="48" customFormat="1" ht="13.2">
      <c r="A96" s="47"/>
      <c r="K96" s="646"/>
    </row>
    <row r="97" spans="1:11" s="48" customFormat="1" ht="13.2">
      <c r="A97" s="47"/>
      <c r="K97" s="646"/>
    </row>
    <row r="98" spans="1:11" s="48" customFormat="1" ht="13.2">
      <c r="A98" s="47"/>
      <c r="K98" s="646"/>
    </row>
    <row r="99" spans="1:11" s="48" customFormat="1" ht="13.2">
      <c r="A99" s="47"/>
      <c r="K99" s="646"/>
    </row>
    <row r="100" spans="1:11" s="48" customFormat="1" ht="13.2">
      <c r="A100" s="47"/>
      <c r="K100" s="646"/>
    </row>
    <row r="101" spans="1:11" s="48" customFormat="1" ht="13.2">
      <c r="A101" s="47"/>
      <c r="K101" s="646"/>
    </row>
    <row r="102" spans="1:11" s="48" customFormat="1" ht="13.2">
      <c r="A102" s="47"/>
      <c r="K102" s="646"/>
    </row>
    <row r="103" spans="1:11" s="48" customFormat="1" ht="13.2">
      <c r="A103" s="47"/>
      <c r="K103" s="646"/>
    </row>
    <row r="104" spans="1:11" s="48" customFormat="1" ht="13.2">
      <c r="A104" s="47"/>
      <c r="K104" s="646"/>
    </row>
    <row r="105" spans="1:11" s="48" customFormat="1" ht="13.2">
      <c r="A105" s="47"/>
      <c r="K105" s="646"/>
    </row>
    <row r="106" spans="1:11" s="48" customFormat="1" ht="13.2">
      <c r="A106" s="47"/>
      <c r="K106" s="646"/>
    </row>
    <row r="107" spans="1:11" s="48" customFormat="1" ht="13.2">
      <c r="A107" s="47"/>
      <c r="K107" s="646"/>
    </row>
    <row r="108" spans="1:11" s="48" customFormat="1" ht="13.2">
      <c r="A108" s="47"/>
      <c r="K108" s="646"/>
    </row>
    <row r="109" spans="1:11" s="48" customFormat="1" ht="13.2">
      <c r="A109" s="47"/>
      <c r="K109" s="646"/>
    </row>
    <row r="110" spans="1:11" s="48" customFormat="1" ht="13.2">
      <c r="A110" s="47"/>
      <c r="K110" s="646"/>
    </row>
    <row r="111" spans="1:11" s="48" customFormat="1" ht="13.2">
      <c r="A111" s="47"/>
      <c r="K111" s="646"/>
    </row>
    <row r="112" spans="1:11" s="48" customFormat="1" ht="13.2">
      <c r="A112" s="47"/>
      <c r="K112" s="646"/>
    </row>
    <row r="113" spans="1:11" s="48" customFormat="1" ht="13.2">
      <c r="A113" s="47"/>
      <c r="K113" s="646"/>
    </row>
    <row r="114" spans="1:11" s="48" customFormat="1" ht="13.2">
      <c r="A114" s="47"/>
      <c r="K114" s="646"/>
    </row>
    <row r="115" spans="1:11" s="48" customFormat="1" ht="13.2">
      <c r="A115" s="47"/>
      <c r="K115" s="646"/>
    </row>
    <row r="116" spans="1:11" s="48" customFormat="1" ht="13.2">
      <c r="A116" s="47"/>
      <c r="K116" s="646"/>
    </row>
    <row r="117" spans="1:11" s="48" customFormat="1" ht="13.2">
      <c r="A117" s="47"/>
      <c r="K117" s="646"/>
    </row>
    <row r="118" spans="1:11" s="48" customFormat="1" ht="13.2">
      <c r="A118" s="47"/>
      <c r="K118" s="646"/>
    </row>
    <row r="119" spans="1:11" s="48" customFormat="1" ht="13.2">
      <c r="A119" s="47"/>
      <c r="K119" s="646"/>
    </row>
    <row r="120" spans="1:11" s="48" customFormat="1" ht="13.2">
      <c r="A120" s="47"/>
      <c r="K120" s="646"/>
    </row>
    <row r="121" spans="1:11" s="48" customFormat="1" ht="13.2">
      <c r="A121" s="47"/>
      <c r="K121" s="646"/>
    </row>
  </sheetData>
  <mergeCells count="9">
    <mergeCell ref="G1:K1"/>
    <mergeCell ref="A3:J3"/>
    <mergeCell ref="A26:A34"/>
    <mergeCell ref="A5:A6"/>
    <mergeCell ref="B5:B6"/>
    <mergeCell ref="C5:C6"/>
    <mergeCell ref="D5:K5"/>
    <mergeCell ref="A7:K7"/>
    <mergeCell ref="A17:K17"/>
  </mergeCells>
  <pageMargins left="0.78740157480314965" right="0.39370078740157483" top="0" bottom="0" header="0.31496062992125984" footer="0.31496062992125984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40"/>
  <sheetViews>
    <sheetView topLeftCell="A319" workbookViewId="0">
      <selection activeCell="B108" sqref="B108"/>
    </sheetView>
  </sheetViews>
  <sheetFormatPr defaultColWidth="8.88671875" defaultRowHeight="13.2"/>
  <cols>
    <col min="1" max="1" width="9.44140625" style="362" customWidth="1"/>
    <col min="2" max="2" width="42" style="362" customWidth="1"/>
    <col min="3" max="3" width="12.33203125" style="362" customWidth="1"/>
    <col min="4" max="4" width="37" style="362" customWidth="1"/>
    <col min="5" max="5" width="13.33203125" style="362" customWidth="1"/>
    <col min="6" max="16384" width="8.88671875" style="362"/>
  </cols>
  <sheetData>
    <row r="1" spans="1:5" ht="47.4" customHeight="1">
      <c r="C1" s="1286" t="s">
        <v>472</v>
      </c>
      <c r="D1" s="1286"/>
      <c r="E1" s="366"/>
    </row>
    <row r="2" spans="1:5" ht="28.95" customHeight="1">
      <c r="A2" s="1288" t="s">
        <v>222</v>
      </c>
      <c r="B2" s="1288"/>
      <c r="C2" s="1288"/>
      <c r="D2" s="1288"/>
      <c r="E2" s="367"/>
    </row>
    <row r="3" spans="1:5" ht="13.8" hidden="1" thickBot="1"/>
    <row r="4" spans="1:5" ht="13.8" hidden="1" thickBot="1"/>
    <row r="5" spans="1:5" ht="13.8" hidden="1" thickBot="1"/>
    <row r="6" spans="1:5" ht="13.8" hidden="1" thickBot="1"/>
    <row r="7" spans="1:5" ht="13.8" hidden="1" thickBot="1"/>
    <row r="8" spans="1:5" ht="13.8" hidden="1" thickBot="1"/>
    <row r="9" spans="1:5" ht="13.8" hidden="1" thickBot="1"/>
    <row r="10" spans="1:5" ht="13.8" hidden="1" thickBot="1"/>
    <row r="11" spans="1:5" ht="13.8" hidden="1" thickBot="1"/>
    <row r="12" spans="1:5" ht="13.8" hidden="1" thickBot="1"/>
    <row r="13" spans="1:5" ht="13.8" hidden="1" thickBot="1"/>
    <row r="14" spans="1:5" ht="13.8" hidden="1" thickBot="1"/>
    <row r="15" spans="1:5" ht="13.8" hidden="1" thickBot="1"/>
    <row r="16" spans="1:5" ht="13.8" hidden="1" thickBot="1"/>
    <row r="17" spans="1:5" ht="13.8" hidden="1" thickBot="1"/>
    <row r="18" spans="1:5" ht="13.8" hidden="1" thickBot="1"/>
    <row r="19" spans="1:5" ht="26.4">
      <c r="A19" s="364" t="s">
        <v>0</v>
      </c>
      <c r="B19" s="364" t="s">
        <v>116</v>
      </c>
      <c r="C19" s="364" t="s">
        <v>331</v>
      </c>
      <c r="D19" s="365" t="s">
        <v>712</v>
      </c>
      <c r="E19" s="368"/>
    </row>
    <row r="20" spans="1:5">
      <c r="A20" s="293">
        <v>1</v>
      </c>
      <c r="B20" s="369" t="s">
        <v>223</v>
      </c>
      <c r="C20" s="293">
        <v>1</v>
      </c>
      <c r="D20" s="294">
        <v>5550</v>
      </c>
      <c r="E20" s="1287"/>
    </row>
    <row r="21" spans="1:5">
      <c r="A21" s="293">
        <v>2</v>
      </c>
      <c r="B21" s="370" t="s">
        <v>223</v>
      </c>
      <c r="C21" s="371">
        <v>7</v>
      </c>
      <c r="D21" s="295">
        <v>8128</v>
      </c>
      <c r="E21" s="1287"/>
    </row>
    <row r="22" spans="1:5">
      <c r="A22" s="293">
        <v>3</v>
      </c>
      <c r="B22" s="370" t="s">
        <v>223</v>
      </c>
      <c r="C22" s="371">
        <v>10</v>
      </c>
      <c r="D22" s="295">
        <v>2223.1</v>
      </c>
      <c r="E22" s="1287"/>
    </row>
    <row r="23" spans="1:5">
      <c r="A23" s="293">
        <v>4</v>
      </c>
      <c r="B23" s="370" t="s">
        <v>223</v>
      </c>
      <c r="C23" s="371" t="s">
        <v>224</v>
      </c>
      <c r="D23" s="295">
        <v>1842.2</v>
      </c>
      <c r="E23" s="1287"/>
    </row>
    <row r="24" spans="1:5">
      <c r="A24" s="293">
        <v>5</v>
      </c>
      <c r="B24" s="372" t="s">
        <v>223</v>
      </c>
      <c r="C24" s="373">
        <v>12</v>
      </c>
      <c r="D24" s="296">
        <v>2400</v>
      </c>
      <c r="E24" s="1287"/>
    </row>
    <row r="25" spans="1:5">
      <c r="A25" s="293">
        <v>6</v>
      </c>
      <c r="B25" s="372" t="s">
        <v>225</v>
      </c>
      <c r="C25" s="373" t="s">
        <v>226</v>
      </c>
      <c r="D25" s="296">
        <v>1719</v>
      </c>
      <c r="E25" s="1287"/>
    </row>
    <row r="26" spans="1:5">
      <c r="A26" s="293">
        <v>7</v>
      </c>
      <c r="B26" s="369" t="s">
        <v>223</v>
      </c>
      <c r="C26" s="293">
        <v>14</v>
      </c>
      <c r="D26" s="294">
        <v>2195</v>
      </c>
      <c r="E26" s="1287"/>
    </row>
    <row r="27" spans="1:5">
      <c r="A27" s="293">
        <v>8</v>
      </c>
      <c r="B27" s="372" t="s">
        <v>223</v>
      </c>
      <c r="C27" s="374">
        <v>16</v>
      </c>
      <c r="D27" s="296">
        <v>2326</v>
      </c>
      <c r="E27" s="1287"/>
    </row>
    <row r="28" spans="1:5">
      <c r="A28" s="293">
        <v>9</v>
      </c>
      <c r="B28" s="369" t="s">
        <v>223</v>
      </c>
      <c r="C28" s="293">
        <v>18</v>
      </c>
      <c r="D28" s="294">
        <v>2062.4</v>
      </c>
      <c r="E28" s="1287"/>
    </row>
    <row r="29" spans="1:5">
      <c r="A29" s="293">
        <v>10</v>
      </c>
      <c r="B29" s="369" t="s">
        <v>227</v>
      </c>
      <c r="C29" s="293">
        <v>1</v>
      </c>
      <c r="D29" s="294">
        <v>600</v>
      </c>
      <c r="E29" s="1287"/>
    </row>
    <row r="30" spans="1:5">
      <c r="A30" s="293">
        <v>11</v>
      </c>
      <c r="B30" s="369" t="s">
        <v>228</v>
      </c>
      <c r="C30" s="293">
        <v>4</v>
      </c>
      <c r="D30" s="294">
        <v>4832</v>
      </c>
      <c r="E30" s="1287"/>
    </row>
    <row r="31" spans="1:5">
      <c r="A31" s="293">
        <v>12</v>
      </c>
      <c r="B31" s="369" t="s">
        <v>228</v>
      </c>
      <c r="C31" s="293">
        <v>5</v>
      </c>
      <c r="D31" s="294">
        <v>2259</v>
      </c>
      <c r="E31" s="1287"/>
    </row>
    <row r="32" spans="1:5">
      <c r="A32" s="293">
        <v>13</v>
      </c>
      <c r="B32" s="369" t="s">
        <v>228</v>
      </c>
      <c r="C32" s="293">
        <v>6</v>
      </c>
      <c r="D32" s="294">
        <v>2390</v>
      </c>
      <c r="E32" s="1287"/>
    </row>
    <row r="33" spans="1:5">
      <c r="A33" s="293">
        <v>14</v>
      </c>
      <c r="B33" s="369" t="s">
        <v>228</v>
      </c>
      <c r="C33" s="293">
        <v>10</v>
      </c>
      <c r="D33" s="294">
        <v>978.6</v>
      </c>
      <c r="E33" s="1287"/>
    </row>
    <row r="34" spans="1:5">
      <c r="A34" s="293">
        <v>15</v>
      </c>
      <c r="B34" s="369" t="s">
        <v>228</v>
      </c>
      <c r="C34" s="293">
        <v>21</v>
      </c>
      <c r="D34" s="294">
        <v>1237.0999999999999</v>
      </c>
      <c r="E34" s="1287"/>
    </row>
    <row r="35" spans="1:5">
      <c r="A35" s="293">
        <v>16</v>
      </c>
      <c r="B35" s="369" t="s">
        <v>228</v>
      </c>
      <c r="C35" s="293" t="s">
        <v>229</v>
      </c>
      <c r="D35" s="294">
        <v>1499</v>
      </c>
      <c r="E35" s="1287"/>
    </row>
    <row r="36" spans="1:5" ht="13.95" customHeight="1">
      <c r="A36" s="293">
        <v>17</v>
      </c>
      <c r="B36" s="369" t="s">
        <v>230</v>
      </c>
      <c r="C36" s="293">
        <v>7</v>
      </c>
      <c r="D36" s="294">
        <v>1223</v>
      </c>
      <c r="E36" s="1287"/>
    </row>
    <row r="37" spans="1:5">
      <c r="A37" s="293">
        <v>18</v>
      </c>
      <c r="B37" s="369" t="s">
        <v>230</v>
      </c>
      <c r="C37" s="293">
        <v>8</v>
      </c>
      <c r="D37" s="294">
        <v>1618</v>
      </c>
      <c r="E37" s="1287"/>
    </row>
    <row r="38" spans="1:5">
      <c r="A38" s="293">
        <v>19</v>
      </c>
      <c r="B38" s="369" t="s">
        <v>230</v>
      </c>
      <c r="C38" s="293">
        <v>9</v>
      </c>
      <c r="D38" s="294">
        <v>1368</v>
      </c>
      <c r="E38" s="1287"/>
    </row>
    <row r="39" spans="1:5">
      <c r="A39" s="293">
        <v>20</v>
      </c>
      <c r="B39" s="369" t="s">
        <v>230</v>
      </c>
      <c r="C39" s="293">
        <v>11</v>
      </c>
      <c r="D39" s="294">
        <v>1088</v>
      </c>
      <c r="E39" s="1287"/>
    </row>
    <row r="40" spans="1:5">
      <c r="A40" s="293">
        <v>21</v>
      </c>
      <c r="B40" s="375" t="s">
        <v>231</v>
      </c>
      <c r="C40" s="374" t="s">
        <v>232</v>
      </c>
      <c r="D40" s="296">
        <v>3896</v>
      </c>
      <c r="E40" s="1287"/>
    </row>
    <row r="41" spans="1:5">
      <c r="A41" s="293">
        <v>22</v>
      </c>
      <c r="B41" s="370" t="s">
        <v>233</v>
      </c>
      <c r="C41" s="371">
        <v>18</v>
      </c>
      <c r="D41" s="295">
        <v>943</v>
      </c>
      <c r="E41" s="1287"/>
    </row>
    <row r="42" spans="1:5">
      <c r="A42" s="293">
        <v>23</v>
      </c>
      <c r="B42" s="370" t="s">
        <v>233</v>
      </c>
      <c r="C42" s="371">
        <v>20</v>
      </c>
      <c r="D42" s="295">
        <v>780</v>
      </c>
      <c r="E42" s="1287"/>
    </row>
    <row r="43" spans="1:5">
      <c r="A43" s="293">
        <v>24</v>
      </c>
      <c r="B43" s="369" t="s">
        <v>230</v>
      </c>
      <c r="C43" s="293">
        <v>21</v>
      </c>
      <c r="D43" s="294">
        <v>1115</v>
      </c>
      <c r="E43" s="1287"/>
    </row>
    <row r="44" spans="1:5">
      <c r="A44" s="293">
        <v>25</v>
      </c>
      <c r="B44" s="376" t="s">
        <v>231</v>
      </c>
      <c r="C44" s="364">
        <v>22</v>
      </c>
      <c r="D44" s="297">
        <v>2112.1999999999998</v>
      </c>
      <c r="E44" s="377"/>
    </row>
    <row r="45" spans="1:5">
      <c r="A45" s="293">
        <v>26</v>
      </c>
      <c r="B45" s="376" t="s">
        <v>231</v>
      </c>
      <c r="C45" s="364">
        <v>23</v>
      </c>
      <c r="D45" s="297">
        <v>2200</v>
      </c>
      <c r="E45" s="377"/>
    </row>
    <row r="46" spans="1:5">
      <c r="A46" s="293">
        <v>27</v>
      </c>
      <c r="B46" s="369" t="s">
        <v>230</v>
      </c>
      <c r="C46" s="378" t="s">
        <v>234</v>
      </c>
      <c r="D46" s="294">
        <v>3747</v>
      </c>
      <c r="E46" s="377"/>
    </row>
    <row r="47" spans="1:5">
      <c r="A47" s="293">
        <v>28</v>
      </c>
      <c r="B47" s="370" t="s">
        <v>231</v>
      </c>
      <c r="C47" s="371" t="s">
        <v>235</v>
      </c>
      <c r="D47" s="295">
        <v>1252.6300000000001</v>
      </c>
      <c r="E47" s="377"/>
    </row>
    <row r="48" spans="1:5">
      <c r="A48" s="293">
        <v>29</v>
      </c>
      <c r="B48" s="370" t="s">
        <v>231</v>
      </c>
      <c r="C48" s="379" t="s">
        <v>236</v>
      </c>
      <c r="D48" s="295">
        <v>7143</v>
      </c>
      <c r="E48" s="377"/>
    </row>
    <row r="49" spans="1:5">
      <c r="A49" s="293">
        <v>30</v>
      </c>
      <c r="B49" s="375" t="s">
        <v>231</v>
      </c>
      <c r="C49" s="374">
        <v>26</v>
      </c>
      <c r="D49" s="296">
        <v>1329</v>
      </c>
      <c r="E49" s="377"/>
    </row>
    <row r="50" spans="1:5">
      <c r="A50" s="293">
        <v>31</v>
      </c>
      <c r="B50" s="375" t="s">
        <v>231</v>
      </c>
      <c r="C50" s="374" t="s">
        <v>237</v>
      </c>
      <c r="D50" s="296">
        <v>3579</v>
      </c>
      <c r="E50" s="377"/>
    </row>
    <row r="51" spans="1:5">
      <c r="A51" s="293">
        <v>32</v>
      </c>
      <c r="B51" s="369" t="s">
        <v>230</v>
      </c>
      <c r="C51" s="380">
        <v>27</v>
      </c>
      <c r="D51" s="294">
        <v>7592</v>
      </c>
      <c r="E51" s="377"/>
    </row>
    <row r="52" spans="1:5">
      <c r="A52" s="293">
        <v>33</v>
      </c>
      <c r="B52" s="370" t="s">
        <v>231</v>
      </c>
      <c r="C52" s="371">
        <v>28</v>
      </c>
      <c r="D52" s="295">
        <v>3888</v>
      </c>
      <c r="E52" s="377"/>
    </row>
    <row r="53" spans="1:5">
      <c r="A53" s="293">
        <v>34</v>
      </c>
      <c r="B53" s="369" t="s">
        <v>230</v>
      </c>
      <c r="C53" s="293">
        <v>32</v>
      </c>
      <c r="D53" s="294">
        <v>3923</v>
      </c>
    </row>
    <row r="54" spans="1:5">
      <c r="A54" s="293">
        <v>35</v>
      </c>
      <c r="B54" s="369" t="s">
        <v>230</v>
      </c>
      <c r="C54" s="293" t="s">
        <v>238</v>
      </c>
      <c r="D54" s="294">
        <v>5144.7</v>
      </c>
    </row>
    <row r="55" spans="1:5">
      <c r="A55" s="293">
        <v>36</v>
      </c>
      <c r="B55" s="369" t="s">
        <v>239</v>
      </c>
      <c r="C55" s="293">
        <v>2</v>
      </c>
      <c r="D55" s="294">
        <v>3560</v>
      </c>
    </row>
    <row r="56" spans="1:5">
      <c r="A56" s="293">
        <v>37</v>
      </c>
      <c r="B56" s="369" t="s">
        <v>239</v>
      </c>
      <c r="C56" s="293">
        <v>3</v>
      </c>
      <c r="D56" s="294">
        <v>3560</v>
      </c>
    </row>
    <row r="57" spans="1:5">
      <c r="A57" s="293">
        <v>38</v>
      </c>
      <c r="B57" s="369" t="s">
        <v>239</v>
      </c>
      <c r="C57" s="293">
        <v>4</v>
      </c>
      <c r="D57" s="294">
        <v>3150</v>
      </c>
    </row>
    <row r="58" spans="1:5">
      <c r="A58" s="293">
        <v>39</v>
      </c>
      <c r="B58" s="369" t="s">
        <v>239</v>
      </c>
      <c r="C58" s="293">
        <v>5</v>
      </c>
      <c r="D58" s="294">
        <v>920</v>
      </c>
    </row>
    <row r="59" spans="1:5">
      <c r="A59" s="293">
        <v>40</v>
      </c>
      <c r="B59" s="369" t="s">
        <v>239</v>
      </c>
      <c r="C59" s="293">
        <v>6</v>
      </c>
      <c r="D59" s="294">
        <v>3560</v>
      </c>
    </row>
    <row r="60" spans="1:5">
      <c r="A60" s="293">
        <v>41</v>
      </c>
      <c r="B60" s="369" t="s">
        <v>239</v>
      </c>
      <c r="C60" s="293">
        <v>8</v>
      </c>
      <c r="D60" s="294">
        <v>4937.3</v>
      </c>
    </row>
    <row r="61" spans="1:5">
      <c r="A61" s="293">
        <v>42</v>
      </c>
      <c r="B61" s="369" t="s">
        <v>240</v>
      </c>
      <c r="C61" s="293" t="s">
        <v>241</v>
      </c>
      <c r="D61" s="294">
        <v>1000</v>
      </c>
    </row>
    <row r="62" spans="1:5">
      <c r="A62" s="293">
        <v>43</v>
      </c>
      <c r="B62" s="369" t="s">
        <v>242</v>
      </c>
      <c r="C62" s="293">
        <v>4</v>
      </c>
      <c r="D62" s="294">
        <v>1950</v>
      </c>
    </row>
    <row r="63" spans="1:5">
      <c r="A63" s="293">
        <v>44</v>
      </c>
      <c r="B63" s="369" t="s">
        <v>242</v>
      </c>
      <c r="C63" s="293">
        <v>5</v>
      </c>
      <c r="D63" s="294">
        <v>2334</v>
      </c>
    </row>
    <row r="64" spans="1:5">
      <c r="A64" s="293">
        <v>45</v>
      </c>
      <c r="B64" s="369" t="s">
        <v>242</v>
      </c>
      <c r="C64" s="293">
        <v>6</v>
      </c>
      <c r="D64" s="294">
        <v>3850</v>
      </c>
    </row>
    <row r="65" spans="1:4">
      <c r="A65" s="293">
        <v>46</v>
      </c>
      <c r="B65" s="375" t="s">
        <v>243</v>
      </c>
      <c r="C65" s="374">
        <v>27</v>
      </c>
      <c r="D65" s="296">
        <v>1593</v>
      </c>
    </row>
    <row r="66" spans="1:4">
      <c r="A66" s="293">
        <v>47</v>
      </c>
      <c r="B66" s="381" t="s">
        <v>244</v>
      </c>
      <c r="C66" s="382">
        <v>2</v>
      </c>
      <c r="D66" s="298">
        <v>1134</v>
      </c>
    </row>
    <row r="67" spans="1:4">
      <c r="A67" s="293">
        <v>48</v>
      </c>
      <c r="B67" s="369" t="s">
        <v>244</v>
      </c>
      <c r="C67" s="293">
        <v>4</v>
      </c>
      <c r="D67" s="294">
        <v>1373</v>
      </c>
    </row>
    <row r="68" spans="1:4">
      <c r="A68" s="293">
        <v>49</v>
      </c>
      <c r="B68" s="370" t="s">
        <v>244</v>
      </c>
      <c r="C68" s="371">
        <v>6</v>
      </c>
      <c r="D68" s="295">
        <v>1917.2</v>
      </c>
    </row>
    <row r="69" spans="1:4">
      <c r="A69" s="293">
        <v>50</v>
      </c>
      <c r="B69" s="370" t="s">
        <v>244</v>
      </c>
      <c r="C69" s="371">
        <v>7</v>
      </c>
      <c r="D69" s="295">
        <v>1682</v>
      </c>
    </row>
    <row r="70" spans="1:4">
      <c r="A70" s="293">
        <v>51</v>
      </c>
      <c r="B70" s="370" t="s">
        <v>244</v>
      </c>
      <c r="C70" s="371">
        <v>8</v>
      </c>
      <c r="D70" s="295">
        <v>939</v>
      </c>
    </row>
    <row r="71" spans="1:4">
      <c r="A71" s="293">
        <v>52</v>
      </c>
      <c r="B71" s="381" t="s">
        <v>244</v>
      </c>
      <c r="C71" s="382">
        <v>9</v>
      </c>
      <c r="D71" s="299">
        <v>1890.8</v>
      </c>
    </row>
    <row r="72" spans="1:4">
      <c r="A72" s="293">
        <v>53</v>
      </c>
      <c r="B72" s="381" t="s">
        <v>244</v>
      </c>
      <c r="C72" s="382">
        <v>11</v>
      </c>
      <c r="D72" s="299">
        <v>1029.5999999999999</v>
      </c>
    </row>
    <row r="73" spans="1:4">
      <c r="A73" s="293">
        <v>54</v>
      </c>
      <c r="B73" s="381" t="s">
        <v>244</v>
      </c>
      <c r="C73" s="382">
        <v>12</v>
      </c>
      <c r="D73" s="299">
        <v>1116.0999999999999</v>
      </c>
    </row>
    <row r="74" spans="1:4">
      <c r="A74" s="293">
        <v>55</v>
      </c>
      <c r="B74" s="381" t="s">
        <v>244</v>
      </c>
      <c r="C74" s="382">
        <v>13</v>
      </c>
      <c r="D74" s="299">
        <v>500</v>
      </c>
    </row>
    <row r="75" spans="1:4">
      <c r="A75" s="293">
        <v>56</v>
      </c>
      <c r="B75" s="370" t="s">
        <v>244</v>
      </c>
      <c r="C75" s="371">
        <v>14</v>
      </c>
      <c r="D75" s="295">
        <v>2762.84</v>
      </c>
    </row>
    <row r="76" spans="1:4">
      <c r="A76" s="293">
        <v>57</v>
      </c>
      <c r="B76" s="370" t="s">
        <v>244</v>
      </c>
      <c r="C76" s="383">
        <v>15</v>
      </c>
      <c r="D76" s="295">
        <v>610</v>
      </c>
    </row>
    <row r="77" spans="1:4">
      <c r="A77" s="293">
        <v>58</v>
      </c>
      <c r="B77" s="381" t="s">
        <v>244</v>
      </c>
      <c r="C77" s="382">
        <v>16</v>
      </c>
      <c r="D77" s="299">
        <v>1473</v>
      </c>
    </row>
    <row r="78" spans="1:4">
      <c r="A78" s="293">
        <v>59</v>
      </c>
      <c r="B78" s="381" t="s">
        <v>244</v>
      </c>
      <c r="C78" s="382">
        <v>17</v>
      </c>
      <c r="D78" s="299">
        <v>3448</v>
      </c>
    </row>
    <row r="79" spans="1:4">
      <c r="A79" s="293">
        <v>60</v>
      </c>
      <c r="B79" s="381" t="s">
        <v>244</v>
      </c>
      <c r="C79" s="382">
        <v>18</v>
      </c>
      <c r="D79" s="299">
        <v>2404</v>
      </c>
    </row>
    <row r="80" spans="1:4">
      <c r="A80" s="293">
        <v>61</v>
      </c>
      <c r="B80" s="381" t="s">
        <v>244</v>
      </c>
      <c r="C80" s="382">
        <v>19</v>
      </c>
      <c r="D80" s="299">
        <v>1061.3</v>
      </c>
    </row>
    <row r="81" spans="1:4">
      <c r="A81" s="293">
        <v>62</v>
      </c>
      <c r="B81" s="370" t="s">
        <v>244</v>
      </c>
      <c r="C81" s="371">
        <v>20</v>
      </c>
      <c r="D81" s="295">
        <v>1748</v>
      </c>
    </row>
    <row r="82" spans="1:4">
      <c r="A82" s="293">
        <v>63</v>
      </c>
      <c r="B82" s="370" t="s">
        <v>245</v>
      </c>
      <c r="C82" s="371">
        <v>1</v>
      </c>
      <c r="D82" s="295">
        <v>4610</v>
      </c>
    </row>
    <row r="83" spans="1:4">
      <c r="A83" s="293">
        <v>64</v>
      </c>
      <c r="B83" s="369" t="s">
        <v>245</v>
      </c>
      <c r="C83" s="293">
        <v>5</v>
      </c>
      <c r="D83" s="294">
        <v>4171.5</v>
      </c>
    </row>
    <row r="84" spans="1:4">
      <c r="A84" s="293">
        <v>65</v>
      </c>
      <c r="B84" s="369" t="s">
        <v>245</v>
      </c>
      <c r="C84" s="293">
        <v>7</v>
      </c>
      <c r="D84" s="294">
        <v>700</v>
      </c>
    </row>
    <row r="85" spans="1:4">
      <c r="A85" s="293">
        <v>66</v>
      </c>
      <c r="B85" s="369" t="s">
        <v>245</v>
      </c>
      <c r="C85" s="293" t="s">
        <v>246</v>
      </c>
      <c r="D85" s="294">
        <v>5673.2</v>
      </c>
    </row>
    <row r="86" spans="1:4">
      <c r="A86" s="293">
        <v>67</v>
      </c>
      <c r="B86" s="369" t="s">
        <v>245</v>
      </c>
      <c r="C86" s="293">
        <v>15</v>
      </c>
      <c r="D86" s="294">
        <v>2281.1</v>
      </c>
    </row>
    <row r="87" spans="1:4">
      <c r="A87" s="293">
        <v>68</v>
      </c>
      <c r="B87" s="369" t="s">
        <v>245</v>
      </c>
      <c r="C87" s="293">
        <v>17</v>
      </c>
      <c r="D87" s="294">
        <v>5801.7</v>
      </c>
    </row>
    <row r="88" spans="1:4">
      <c r="A88" s="293">
        <v>69</v>
      </c>
      <c r="B88" s="369" t="s">
        <v>247</v>
      </c>
      <c r="C88" s="293">
        <v>1</v>
      </c>
      <c r="D88" s="294">
        <v>945.3</v>
      </c>
    </row>
    <row r="89" spans="1:4">
      <c r="A89" s="293">
        <v>70</v>
      </c>
      <c r="B89" s="369" t="s">
        <v>247</v>
      </c>
      <c r="C89" s="293">
        <v>9</v>
      </c>
      <c r="D89" s="294">
        <v>1755</v>
      </c>
    </row>
    <row r="90" spans="1:4">
      <c r="A90" s="293">
        <v>71</v>
      </c>
      <c r="B90" s="369" t="s">
        <v>247</v>
      </c>
      <c r="C90" s="293">
        <v>10</v>
      </c>
      <c r="D90" s="294">
        <v>1943</v>
      </c>
    </row>
    <row r="91" spans="1:4">
      <c r="A91" s="293">
        <v>72</v>
      </c>
      <c r="B91" s="369" t="s">
        <v>247</v>
      </c>
      <c r="C91" s="293" t="s">
        <v>224</v>
      </c>
      <c r="D91" s="294">
        <v>2223.48</v>
      </c>
    </row>
    <row r="92" spans="1:4">
      <c r="A92" s="293">
        <v>73</v>
      </c>
      <c r="B92" s="369" t="s">
        <v>247</v>
      </c>
      <c r="C92" s="293">
        <v>11</v>
      </c>
      <c r="D92" s="294">
        <v>3600.1</v>
      </c>
    </row>
    <row r="93" spans="1:4">
      <c r="A93" s="293">
        <v>74</v>
      </c>
      <c r="B93" s="369" t="s">
        <v>247</v>
      </c>
      <c r="C93" s="293">
        <v>12</v>
      </c>
      <c r="D93" s="294">
        <v>2498.75</v>
      </c>
    </row>
    <row r="94" spans="1:4">
      <c r="A94" s="293">
        <v>75</v>
      </c>
      <c r="B94" s="369" t="s">
        <v>247</v>
      </c>
      <c r="C94" s="293">
        <v>14</v>
      </c>
      <c r="D94" s="294">
        <v>1352.14</v>
      </c>
    </row>
    <row r="95" spans="1:4">
      <c r="A95" s="293">
        <v>76</v>
      </c>
      <c r="B95" s="369" t="s">
        <v>248</v>
      </c>
      <c r="C95" s="293">
        <v>3</v>
      </c>
      <c r="D95" s="294">
        <v>824</v>
      </c>
    </row>
    <row r="96" spans="1:4">
      <c r="A96" s="293">
        <v>77</v>
      </c>
      <c r="B96" s="369" t="s">
        <v>248</v>
      </c>
      <c r="C96" s="293">
        <v>5</v>
      </c>
      <c r="D96" s="294">
        <v>943</v>
      </c>
    </row>
    <row r="97" spans="1:4">
      <c r="A97" s="293">
        <v>78</v>
      </c>
      <c r="B97" s="369" t="s">
        <v>248</v>
      </c>
      <c r="C97" s="293">
        <v>7</v>
      </c>
      <c r="D97" s="294">
        <v>969</v>
      </c>
    </row>
    <row r="98" spans="1:4">
      <c r="A98" s="293">
        <v>79</v>
      </c>
      <c r="B98" s="375" t="s">
        <v>248</v>
      </c>
      <c r="C98" s="374">
        <v>9</v>
      </c>
      <c r="D98" s="296">
        <v>1797</v>
      </c>
    </row>
    <row r="99" spans="1:4">
      <c r="A99" s="293">
        <v>80</v>
      </c>
      <c r="B99" s="375" t="s">
        <v>248</v>
      </c>
      <c r="C99" s="374">
        <v>10</v>
      </c>
      <c r="D99" s="296">
        <v>2735</v>
      </c>
    </row>
    <row r="100" spans="1:4">
      <c r="A100" s="293">
        <v>81</v>
      </c>
      <c r="B100" s="375" t="s">
        <v>249</v>
      </c>
      <c r="C100" s="374">
        <v>11</v>
      </c>
      <c r="D100" s="296">
        <v>850</v>
      </c>
    </row>
    <row r="101" spans="1:4">
      <c r="A101" s="293">
        <v>82</v>
      </c>
      <c r="B101" s="375" t="s">
        <v>249</v>
      </c>
      <c r="C101" s="374">
        <v>19</v>
      </c>
      <c r="D101" s="296">
        <v>1840</v>
      </c>
    </row>
    <row r="102" spans="1:4">
      <c r="A102" s="293">
        <v>83</v>
      </c>
      <c r="B102" s="375" t="s">
        <v>249</v>
      </c>
      <c r="C102" s="374">
        <v>29</v>
      </c>
      <c r="D102" s="296">
        <v>1990</v>
      </c>
    </row>
    <row r="103" spans="1:4">
      <c r="A103" s="293">
        <v>84</v>
      </c>
      <c r="B103" s="370" t="s">
        <v>249</v>
      </c>
      <c r="C103" s="371">
        <v>31</v>
      </c>
      <c r="D103" s="295">
        <v>1260</v>
      </c>
    </row>
    <row r="104" spans="1:4">
      <c r="A104" s="293">
        <v>85</v>
      </c>
      <c r="B104" s="369" t="s">
        <v>249</v>
      </c>
      <c r="C104" s="293">
        <v>40</v>
      </c>
      <c r="D104" s="294">
        <v>6102</v>
      </c>
    </row>
    <row r="105" spans="1:4">
      <c r="A105" s="293">
        <v>86</v>
      </c>
      <c r="B105" s="369" t="s">
        <v>249</v>
      </c>
      <c r="C105" s="293" t="s">
        <v>250</v>
      </c>
      <c r="D105" s="294">
        <v>2587</v>
      </c>
    </row>
    <row r="106" spans="1:4">
      <c r="A106" s="293">
        <v>87</v>
      </c>
      <c r="B106" s="369" t="s">
        <v>249</v>
      </c>
      <c r="C106" s="293">
        <v>44</v>
      </c>
      <c r="D106" s="294">
        <v>7564</v>
      </c>
    </row>
    <row r="107" spans="1:4">
      <c r="A107" s="293">
        <v>88</v>
      </c>
      <c r="B107" s="369" t="s">
        <v>249</v>
      </c>
      <c r="C107" s="293">
        <v>52</v>
      </c>
      <c r="D107" s="294">
        <v>1189</v>
      </c>
    </row>
    <row r="108" spans="1:4">
      <c r="A108" s="293">
        <v>89</v>
      </c>
      <c r="B108" s="369" t="s">
        <v>249</v>
      </c>
      <c r="C108" s="293">
        <v>63</v>
      </c>
      <c r="D108" s="294">
        <v>5341</v>
      </c>
    </row>
    <row r="109" spans="1:4">
      <c r="A109" s="293">
        <v>90</v>
      </c>
      <c r="B109" s="370" t="s">
        <v>249</v>
      </c>
      <c r="C109" s="371">
        <v>65</v>
      </c>
      <c r="D109" s="295">
        <v>1400</v>
      </c>
    </row>
    <row r="110" spans="1:4">
      <c r="A110" s="293">
        <v>91</v>
      </c>
      <c r="B110" s="375" t="s">
        <v>249</v>
      </c>
      <c r="C110" s="374">
        <v>81</v>
      </c>
      <c r="D110" s="296">
        <v>4553</v>
      </c>
    </row>
    <row r="111" spans="1:4">
      <c r="A111" s="293">
        <v>92</v>
      </c>
      <c r="B111" s="375" t="s">
        <v>249</v>
      </c>
      <c r="C111" s="374">
        <v>92</v>
      </c>
      <c r="D111" s="296">
        <v>1549</v>
      </c>
    </row>
    <row r="112" spans="1:4">
      <c r="A112" s="293">
        <v>93</v>
      </c>
      <c r="B112" s="375" t="s">
        <v>249</v>
      </c>
      <c r="C112" s="374">
        <v>95</v>
      </c>
      <c r="D112" s="296">
        <v>2746</v>
      </c>
    </row>
    <row r="113" spans="1:4">
      <c r="A113" s="293">
        <v>94</v>
      </c>
      <c r="B113" s="370" t="s">
        <v>251</v>
      </c>
      <c r="C113" s="371">
        <v>100</v>
      </c>
      <c r="D113" s="295">
        <v>6416.4</v>
      </c>
    </row>
    <row r="114" spans="1:4">
      <c r="A114" s="293">
        <v>95</v>
      </c>
      <c r="B114" s="370" t="s">
        <v>251</v>
      </c>
      <c r="C114" s="371">
        <v>102</v>
      </c>
      <c r="D114" s="295">
        <v>6416.4</v>
      </c>
    </row>
    <row r="115" spans="1:4">
      <c r="A115" s="293">
        <v>96</v>
      </c>
      <c r="B115" s="370" t="s">
        <v>251</v>
      </c>
      <c r="C115" s="371">
        <v>104</v>
      </c>
      <c r="D115" s="295">
        <v>1518.2</v>
      </c>
    </row>
    <row r="116" spans="1:4">
      <c r="A116" s="293">
        <v>97</v>
      </c>
      <c r="B116" s="370" t="s">
        <v>251</v>
      </c>
      <c r="C116" s="371">
        <v>111</v>
      </c>
      <c r="D116" s="295">
        <v>4215.2</v>
      </c>
    </row>
    <row r="117" spans="1:4">
      <c r="A117" s="293">
        <v>98</v>
      </c>
      <c r="B117" s="370" t="s">
        <v>251</v>
      </c>
      <c r="C117" s="371">
        <v>112</v>
      </c>
      <c r="D117" s="295">
        <v>2578</v>
      </c>
    </row>
    <row r="118" spans="1:4">
      <c r="A118" s="293">
        <v>99</v>
      </c>
      <c r="B118" s="370" t="s">
        <v>251</v>
      </c>
      <c r="C118" s="371">
        <v>114</v>
      </c>
      <c r="D118" s="295">
        <v>1915</v>
      </c>
    </row>
    <row r="119" spans="1:4">
      <c r="A119" s="293">
        <v>100</v>
      </c>
      <c r="B119" s="370" t="s">
        <v>249</v>
      </c>
      <c r="C119" s="371">
        <v>122</v>
      </c>
      <c r="D119" s="295">
        <v>888</v>
      </c>
    </row>
    <row r="120" spans="1:4">
      <c r="A120" s="293">
        <v>101</v>
      </c>
      <c r="B120" s="370" t="s">
        <v>251</v>
      </c>
      <c r="C120" s="383">
        <v>126</v>
      </c>
      <c r="D120" s="295">
        <v>3248</v>
      </c>
    </row>
    <row r="121" spans="1:4">
      <c r="A121" s="293">
        <v>102</v>
      </c>
      <c r="B121" s="370" t="s">
        <v>252</v>
      </c>
      <c r="C121" s="383">
        <v>1</v>
      </c>
      <c r="D121" s="295">
        <v>720</v>
      </c>
    </row>
    <row r="122" spans="1:4">
      <c r="A122" s="293">
        <v>103</v>
      </c>
      <c r="B122" s="370" t="s">
        <v>252</v>
      </c>
      <c r="C122" s="383" t="s">
        <v>241</v>
      </c>
      <c r="D122" s="295">
        <v>490</v>
      </c>
    </row>
    <row r="123" spans="1:4">
      <c r="A123" s="293">
        <v>104</v>
      </c>
      <c r="B123" s="381" t="s">
        <v>253</v>
      </c>
      <c r="C123" s="382">
        <v>1</v>
      </c>
      <c r="D123" s="299">
        <v>6247.3</v>
      </c>
    </row>
    <row r="124" spans="1:4">
      <c r="A124" s="293">
        <v>105</v>
      </c>
      <c r="B124" s="381" t="s">
        <v>253</v>
      </c>
      <c r="C124" s="382">
        <v>2</v>
      </c>
      <c r="D124" s="299">
        <v>3560</v>
      </c>
    </row>
    <row r="125" spans="1:4">
      <c r="A125" s="293">
        <v>106</v>
      </c>
      <c r="B125" s="384" t="s">
        <v>254</v>
      </c>
      <c r="C125" s="364" t="s">
        <v>255</v>
      </c>
      <c r="D125" s="297">
        <v>1543</v>
      </c>
    </row>
    <row r="126" spans="1:4">
      <c r="A126" s="293">
        <v>107</v>
      </c>
      <c r="B126" s="370" t="s">
        <v>254</v>
      </c>
      <c r="C126" s="371">
        <v>4</v>
      </c>
      <c r="D126" s="295">
        <v>1300</v>
      </c>
    </row>
    <row r="127" spans="1:4">
      <c r="A127" s="293">
        <v>108</v>
      </c>
      <c r="B127" s="370" t="s">
        <v>254</v>
      </c>
      <c r="C127" s="379" t="s">
        <v>256</v>
      </c>
      <c r="D127" s="295">
        <v>672</v>
      </c>
    </row>
    <row r="128" spans="1:4">
      <c r="A128" s="293">
        <v>109</v>
      </c>
      <c r="B128" s="381" t="s">
        <v>253</v>
      </c>
      <c r="C128" s="382">
        <v>6</v>
      </c>
      <c r="D128" s="299">
        <v>5037</v>
      </c>
    </row>
    <row r="129" spans="1:4">
      <c r="A129" s="293">
        <v>110</v>
      </c>
      <c r="B129" s="381" t="s">
        <v>253</v>
      </c>
      <c r="C129" s="382">
        <v>7</v>
      </c>
      <c r="D129" s="299">
        <v>760</v>
      </c>
    </row>
    <row r="130" spans="1:4">
      <c r="A130" s="293">
        <v>111</v>
      </c>
      <c r="B130" s="381" t="s">
        <v>253</v>
      </c>
      <c r="C130" s="382">
        <v>8</v>
      </c>
      <c r="D130" s="299">
        <v>3800</v>
      </c>
    </row>
    <row r="131" spans="1:4">
      <c r="A131" s="293">
        <v>112</v>
      </c>
      <c r="B131" s="381" t="s">
        <v>257</v>
      </c>
      <c r="C131" s="382">
        <v>12</v>
      </c>
      <c r="D131" s="299">
        <v>776</v>
      </c>
    </row>
    <row r="132" spans="1:4">
      <c r="A132" s="293">
        <v>113</v>
      </c>
      <c r="B132" s="381" t="s">
        <v>257</v>
      </c>
      <c r="C132" s="382">
        <v>14</v>
      </c>
      <c r="D132" s="299">
        <v>2379</v>
      </c>
    </row>
    <row r="133" spans="1:4">
      <c r="A133" s="293">
        <v>114</v>
      </c>
      <c r="B133" s="381" t="s">
        <v>257</v>
      </c>
      <c r="C133" s="382">
        <v>16</v>
      </c>
      <c r="D133" s="299">
        <v>920</v>
      </c>
    </row>
    <row r="134" spans="1:4">
      <c r="A134" s="293">
        <v>115</v>
      </c>
      <c r="B134" s="375" t="s">
        <v>258</v>
      </c>
      <c r="C134" s="374">
        <v>3</v>
      </c>
      <c r="D134" s="296">
        <v>5246</v>
      </c>
    </row>
    <row r="135" spans="1:4">
      <c r="A135" s="293">
        <v>116</v>
      </c>
      <c r="B135" s="369" t="s">
        <v>259</v>
      </c>
      <c r="C135" s="374">
        <v>2</v>
      </c>
      <c r="D135" s="296">
        <v>1600</v>
      </c>
    </row>
    <row r="136" spans="1:4">
      <c r="A136" s="293">
        <v>117</v>
      </c>
      <c r="B136" s="369" t="s">
        <v>259</v>
      </c>
      <c r="C136" s="293">
        <v>11</v>
      </c>
      <c r="D136" s="294">
        <v>5148</v>
      </c>
    </row>
    <row r="137" spans="1:4">
      <c r="A137" s="293">
        <v>118</v>
      </c>
      <c r="B137" s="369" t="s">
        <v>260</v>
      </c>
      <c r="C137" s="293">
        <v>2</v>
      </c>
      <c r="D137" s="1289">
        <v>55850</v>
      </c>
    </row>
    <row r="138" spans="1:4">
      <c r="A138" s="293">
        <v>119</v>
      </c>
      <c r="B138" s="369" t="s">
        <v>260</v>
      </c>
      <c r="C138" s="293" t="s">
        <v>261</v>
      </c>
      <c r="D138" s="1290"/>
    </row>
    <row r="139" spans="1:4">
      <c r="A139" s="293">
        <v>120</v>
      </c>
      <c r="B139" s="369" t="s">
        <v>260</v>
      </c>
      <c r="C139" s="293">
        <v>4</v>
      </c>
      <c r="D139" s="1290"/>
    </row>
    <row r="140" spans="1:4">
      <c r="A140" s="293">
        <v>121</v>
      </c>
      <c r="B140" s="369" t="s">
        <v>260</v>
      </c>
      <c r="C140" s="293">
        <v>6</v>
      </c>
      <c r="D140" s="1291"/>
    </row>
    <row r="141" spans="1:4">
      <c r="A141" s="293">
        <v>122</v>
      </c>
      <c r="B141" s="369" t="s">
        <v>262</v>
      </c>
      <c r="C141" s="293" t="s">
        <v>263</v>
      </c>
      <c r="D141" s="294">
        <v>1547</v>
      </c>
    </row>
    <row r="142" spans="1:4">
      <c r="A142" s="293">
        <v>123</v>
      </c>
      <c r="B142" s="370" t="s">
        <v>260</v>
      </c>
      <c r="C142" s="379" t="s">
        <v>264</v>
      </c>
      <c r="D142" s="295">
        <v>602</v>
      </c>
    </row>
    <row r="143" spans="1:4">
      <c r="A143" s="293">
        <v>124</v>
      </c>
      <c r="B143" s="369" t="s">
        <v>265</v>
      </c>
      <c r="C143" s="293">
        <v>2</v>
      </c>
      <c r="D143" s="294">
        <v>1961.46</v>
      </c>
    </row>
    <row r="144" spans="1:4">
      <c r="A144" s="293">
        <v>125</v>
      </c>
      <c r="B144" s="369" t="s">
        <v>265</v>
      </c>
      <c r="C144" s="293">
        <v>4</v>
      </c>
      <c r="D144" s="294">
        <v>1820.7</v>
      </c>
    </row>
    <row r="145" spans="1:4">
      <c r="A145" s="293">
        <v>126</v>
      </c>
      <c r="B145" s="369" t="s">
        <v>265</v>
      </c>
      <c r="C145" s="293">
        <v>8</v>
      </c>
      <c r="D145" s="294">
        <v>1074.0999999999999</v>
      </c>
    </row>
    <row r="146" spans="1:4">
      <c r="A146" s="293">
        <v>127</v>
      </c>
      <c r="B146" s="369" t="s">
        <v>265</v>
      </c>
      <c r="C146" s="293" t="s">
        <v>224</v>
      </c>
      <c r="D146" s="294">
        <v>2406.73</v>
      </c>
    </row>
    <row r="147" spans="1:4">
      <c r="A147" s="293">
        <v>128</v>
      </c>
      <c r="B147" s="369" t="s">
        <v>265</v>
      </c>
      <c r="C147" s="293">
        <v>19</v>
      </c>
      <c r="D147" s="294">
        <v>1664</v>
      </c>
    </row>
    <row r="148" spans="1:4">
      <c r="A148" s="293">
        <v>129</v>
      </c>
      <c r="B148" s="369" t="s">
        <v>266</v>
      </c>
      <c r="C148" s="293">
        <v>2</v>
      </c>
      <c r="D148" s="294">
        <v>2649</v>
      </c>
    </row>
    <row r="149" spans="1:4">
      <c r="A149" s="293">
        <v>130</v>
      </c>
      <c r="B149" s="370" t="s">
        <v>266</v>
      </c>
      <c r="C149" s="371">
        <v>4</v>
      </c>
      <c r="D149" s="295">
        <v>922.4</v>
      </c>
    </row>
    <row r="150" spans="1:4">
      <c r="A150" s="293">
        <v>131</v>
      </c>
      <c r="B150" s="370" t="s">
        <v>266</v>
      </c>
      <c r="C150" s="371">
        <v>6</v>
      </c>
      <c r="D150" s="295">
        <v>1949.6</v>
      </c>
    </row>
    <row r="151" spans="1:4">
      <c r="A151" s="293">
        <v>132</v>
      </c>
      <c r="B151" s="370" t="s">
        <v>267</v>
      </c>
      <c r="C151" s="371">
        <v>12</v>
      </c>
      <c r="D151" s="295">
        <v>1145</v>
      </c>
    </row>
    <row r="152" spans="1:4">
      <c r="A152" s="293">
        <v>133</v>
      </c>
      <c r="B152" s="370" t="s">
        <v>267</v>
      </c>
      <c r="C152" s="371">
        <v>15</v>
      </c>
      <c r="D152" s="295">
        <v>842</v>
      </c>
    </row>
    <row r="153" spans="1:4">
      <c r="A153" s="293">
        <v>134</v>
      </c>
      <c r="B153" s="381" t="s">
        <v>267</v>
      </c>
      <c r="C153" s="382">
        <v>26</v>
      </c>
      <c r="D153" s="298">
        <v>4924</v>
      </c>
    </row>
    <row r="154" spans="1:4">
      <c r="A154" s="293">
        <v>135</v>
      </c>
      <c r="B154" s="369" t="s">
        <v>267</v>
      </c>
      <c r="C154" s="293">
        <v>27</v>
      </c>
      <c r="D154" s="294">
        <v>2367</v>
      </c>
    </row>
    <row r="155" spans="1:4">
      <c r="A155" s="293">
        <v>136</v>
      </c>
      <c r="B155" s="369" t="s">
        <v>267</v>
      </c>
      <c r="C155" s="293" t="s">
        <v>268</v>
      </c>
      <c r="D155" s="294">
        <v>8445</v>
      </c>
    </row>
    <row r="156" spans="1:4">
      <c r="A156" s="293">
        <v>137</v>
      </c>
      <c r="B156" s="370" t="s">
        <v>267</v>
      </c>
      <c r="C156" s="371">
        <v>28</v>
      </c>
      <c r="D156" s="295">
        <v>3015</v>
      </c>
    </row>
    <row r="157" spans="1:4">
      <c r="A157" s="293">
        <v>138</v>
      </c>
      <c r="B157" s="369" t="s">
        <v>267</v>
      </c>
      <c r="C157" s="293">
        <v>29</v>
      </c>
      <c r="D157" s="294">
        <v>5506.9</v>
      </c>
    </row>
    <row r="158" spans="1:4">
      <c r="A158" s="293">
        <v>139</v>
      </c>
      <c r="B158" s="381" t="s">
        <v>267</v>
      </c>
      <c r="C158" s="382" t="s">
        <v>269</v>
      </c>
      <c r="D158" s="298">
        <v>3728</v>
      </c>
    </row>
    <row r="159" spans="1:4">
      <c r="A159" s="293">
        <v>140</v>
      </c>
      <c r="B159" s="369" t="s">
        <v>267</v>
      </c>
      <c r="C159" s="293">
        <v>31</v>
      </c>
      <c r="D159" s="294">
        <v>4328.7</v>
      </c>
    </row>
    <row r="160" spans="1:4">
      <c r="A160" s="293">
        <v>141</v>
      </c>
      <c r="B160" s="375" t="s">
        <v>267</v>
      </c>
      <c r="C160" s="374">
        <v>32</v>
      </c>
      <c r="D160" s="296">
        <v>7770</v>
      </c>
    </row>
    <row r="161" spans="1:4">
      <c r="A161" s="293">
        <v>142</v>
      </c>
      <c r="B161" s="369" t="s">
        <v>267</v>
      </c>
      <c r="C161" s="293">
        <v>33</v>
      </c>
      <c r="D161" s="294">
        <v>4511</v>
      </c>
    </row>
    <row r="162" spans="1:4">
      <c r="A162" s="293">
        <v>143</v>
      </c>
      <c r="B162" s="381" t="s">
        <v>267</v>
      </c>
      <c r="C162" s="382">
        <v>34</v>
      </c>
      <c r="D162" s="298">
        <v>6839</v>
      </c>
    </row>
    <row r="163" spans="1:4">
      <c r="A163" s="293">
        <v>144</v>
      </c>
      <c r="B163" s="375" t="s">
        <v>267</v>
      </c>
      <c r="C163" s="374">
        <v>35</v>
      </c>
      <c r="D163" s="296">
        <v>3370</v>
      </c>
    </row>
    <row r="164" spans="1:4">
      <c r="A164" s="293">
        <v>145</v>
      </c>
      <c r="B164" s="381" t="s">
        <v>267</v>
      </c>
      <c r="C164" s="382">
        <v>36</v>
      </c>
      <c r="D164" s="298">
        <v>3110</v>
      </c>
    </row>
    <row r="165" spans="1:4">
      <c r="A165" s="293">
        <v>146</v>
      </c>
      <c r="B165" s="369" t="s">
        <v>267</v>
      </c>
      <c r="C165" s="293">
        <v>37</v>
      </c>
      <c r="D165" s="294">
        <v>2830</v>
      </c>
    </row>
    <row r="166" spans="1:4">
      <c r="A166" s="293">
        <v>147</v>
      </c>
      <c r="B166" s="369" t="s">
        <v>267</v>
      </c>
      <c r="C166" s="293">
        <v>39</v>
      </c>
      <c r="D166" s="294">
        <v>3941</v>
      </c>
    </row>
    <row r="167" spans="1:4">
      <c r="A167" s="293">
        <v>148</v>
      </c>
      <c r="B167" s="369" t="s">
        <v>267</v>
      </c>
      <c r="C167" s="293">
        <v>40</v>
      </c>
      <c r="D167" s="294">
        <v>2190</v>
      </c>
    </row>
    <row r="168" spans="1:4">
      <c r="A168" s="293">
        <v>149</v>
      </c>
      <c r="B168" s="375" t="s">
        <v>267</v>
      </c>
      <c r="C168" s="374">
        <v>41</v>
      </c>
      <c r="D168" s="296">
        <v>1562</v>
      </c>
    </row>
    <row r="169" spans="1:4">
      <c r="A169" s="293">
        <v>150</v>
      </c>
      <c r="B169" s="369" t="s">
        <v>267</v>
      </c>
      <c r="C169" s="293" t="s">
        <v>270</v>
      </c>
      <c r="D169" s="294">
        <v>400</v>
      </c>
    </row>
    <row r="170" spans="1:4">
      <c r="A170" s="293">
        <v>151</v>
      </c>
      <c r="B170" s="375" t="s">
        <v>267</v>
      </c>
      <c r="C170" s="374" t="s">
        <v>271</v>
      </c>
      <c r="D170" s="296">
        <v>2310</v>
      </c>
    </row>
    <row r="171" spans="1:4">
      <c r="A171" s="293">
        <v>152</v>
      </c>
      <c r="B171" s="375" t="s">
        <v>267</v>
      </c>
      <c r="C171" s="374" t="s">
        <v>272</v>
      </c>
      <c r="D171" s="296">
        <v>1370</v>
      </c>
    </row>
    <row r="172" spans="1:4">
      <c r="A172" s="293">
        <v>153</v>
      </c>
      <c r="B172" s="369" t="s">
        <v>267</v>
      </c>
      <c r="C172" s="293" t="s">
        <v>273</v>
      </c>
      <c r="D172" s="294">
        <v>4388</v>
      </c>
    </row>
    <row r="173" spans="1:4">
      <c r="A173" s="293">
        <v>154</v>
      </c>
      <c r="B173" s="369" t="s">
        <v>267</v>
      </c>
      <c r="C173" s="293">
        <v>42</v>
      </c>
      <c r="D173" s="294">
        <v>3470</v>
      </c>
    </row>
    <row r="174" spans="1:4">
      <c r="A174" s="293">
        <v>155</v>
      </c>
      <c r="B174" s="369" t="s">
        <v>267</v>
      </c>
      <c r="C174" s="293">
        <v>43</v>
      </c>
      <c r="D174" s="294">
        <v>4051.2</v>
      </c>
    </row>
    <row r="175" spans="1:4">
      <c r="A175" s="293">
        <v>156</v>
      </c>
      <c r="B175" s="369" t="s">
        <v>267</v>
      </c>
      <c r="C175" s="293">
        <v>45</v>
      </c>
      <c r="D175" s="294">
        <v>2183</v>
      </c>
    </row>
    <row r="176" spans="1:4">
      <c r="A176" s="293">
        <v>157</v>
      </c>
      <c r="B176" s="369" t="s">
        <v>267</v>
      </c>
      <c r="C176" s="293" t="s">
        <v>514</v>
      </c>
      <c r="D176" s="294">
        <v>641</v>
      </c>
    </row>
    <row r="177" spans="1:4">
      <c r="A177" s="293">
        <v>158</v>
      </c>
      <c r="B177" s="369" t="s">
        <v>267</v>
      </c>
      <c r="C177" s="293">
        <v>47</v>
      </c>
      <c r="D177" s="294">
        <v>800</v>
      </c>
    </row>
    <row r="178" spans="1:4">
      <c r="A178" s="293">
        <v>159</v>
      </c>
      <c r="B178" s="369" t="s">
        <v>267</v>
      </c>
      <c r="C178" s="293">
        <v>53</v>
      </c>
      <c r="D178" s="294">
        <v>2320</v>
      </c>
    </row>
    <row r="179" spans="1:4">
      <c r="A179" s="293">
        <v>160</v>
      </c>
      <c r="B179" s="375" t="s">
        <v>267</v>
      </c>
      <c r="C179" s="293">
        <v>55</v>
      </c>
      <c r="D179" s="296">
        <v>1972</v>
      </c>
    </row>
    <row r="180" spans="1:4">
      <c r="A180" s="293">
        <v>161</v>
      </c>
      <c r="B180" s="370" t="s">
        <v>274</v>
      </c>
      <c r="C180" s="371" t="s">
        <v>275</v>
      </c>
      <c r="D180" s="295">
        <v>3248</v>
      </c>
    </row>
    <row r="181" spans="1:4">
      <c r="A181" s="293">
        <v>162</v>
      </c>
      <c r="B181" s="370" t="s">
        <v>274</v>
      </c>
      <c r="C181" s="371" t="s">
        <v>276</v>
      </c>
      <c r="D181" s="295">
        <v>1683</v>
      </c>
    </row>
    <row r="182" spans="1:4">
      <c r="A182" s="293">
        <v>163</v>
      </c>
      <c r="B182" s="370" t="s">
        <v>274</v>
      </c>
      <c r="C182" s="371">
        <v>3</v>
      </c>
      <c r="D182" s="295">
        <v>2363</v>
      </c>
    </row>
    <row r="183" spans="1:4">
      <c r="A183" s="293">
        <v>164</v>
      </c>
      <c r="B183" s="370" t="s">
        <v>274</v>
      </c>
      <c r="C183" s="371">
        <v>4</v>
      </c>
      <c r="D183" s="295">
        <v>2683.28</v>
      </c>
    </row>
    <row r="184" spans="1:4">
      <c r="A184" s="293">
        <v>165</v>
      </c>
      <c r="B184" s="384" t="s">
        <v>277</v>
      </c>
      <c r="C184" s="385" t="s">
        <v>278</v>
      </c>
      <c r="D184" s="297">
        <v>2445</v>
      </c>
    </row>
    <row r="185" spans="1:4">
      <c r="A185" s="293">
        <v>166</v>
      </c>
      <c r="B185" s="370" t="s">
        <v>274</v>
      </c>
      <c r="C185" s="371">
        <v>6</v>
      </c>
      <c r="D185" s="295">
        <v>2931</v>
      </c>
    </row>
    <row r="186" spans="1:4">
      <c r="A186" s="293">
        <v>167</v>
      </c>
      <c r="B186" s="370" t="s">
        <v>274</v>
      </c>
      <c r="C186" s="371" t="s">
        <v>279</v>
      </c>
      <c r="D186" s="295">
        <v>2474</v>
      </c>
    </row>
    <row r="187" spans="1:4">
      <c r="A187" s="293">
        <v>168</v>
      </c>
      <c r="B187" s="370" t="s">
        <v>274</v>
      </c>
      <c r="C187" s="371" t="s">
        <v>280</v>
      </c>
      <c r="D187" s="295">
        <v>4764.8999999999996</v>
      </c>
    </row>
    <row r="188" spans="1:4">
      <c r="A188" s="293">
        <v>169</v>
      </c>
      <c r="B188" s="370" t="s">
        <v>274</v>
      </c>
      <c r="C188" s="371" t="s">
        <v>281</v>
      </c>
      <c r="D188" s="295">
        <v>1544</v>
      </c>
    </row>
    <row r="189" spans="1:4">
      <c r="A189" s="293">
        <v>170</v>
      </c>
      <c r="B189" s="370" t="s">
        <v>274</v>
      </c>
      <c r="C189" s="371">
        <v>12</v>
      </c>
      <c r="D189" s="295">
        <v>5179</v>
      </c>
    </row>
    <row r="190" spans="1:4">
      <c r="A190" s="293">
        <v>171</v>
      </c>
      <c r="B190" s="370" t="s">
        <v>274</v>
      </c>
      <c r="C190" s="371" t="s">
        <v>282</v>
      </c>
      <c r="D190" s="295">
        <v>5178</v>
      </c>
    </row>
    <row r="191" spans="1:4">
      <c r="A191" s="293">
        <v>172</v>
      </c>
      <c r="B191" s="370" t="s">
        <v>274</v>
      </c>
      <c r="C191" s="371">
        <v>14</v>
      </c>
      <c r="D191" s="295">
        <v>2049</v>
      </c>
    </row>
    <row r="192" spans="1:4">
      <c r="A192" s="293">
        <v>173</v>
      </c>
      <c r="B192" s="381" t="s">
        <v>283</v>
      </c>
      <c r="C192" s="371">
        <v>3</v>
      </c>
      <c r="D192" s="295">
        <v>610</v>
      </c>
    </row>
    <row r="193" spans="1:4">
      <c r="A193" s="293">
        <v>174</v>
      </c>
      <c r="B193" s="381" t="s">
        <v>283</v>
      </c>
      <c r="C193" s="371">
        <v>5</v>
      </c>
      <c r="D193" s="295">
        <v>640</v>
      </c>
    </row>
    <row r="194" spans="1:4">
      <c r="A194" s="293">
        <v>175</v>
      </c>
      <c r="B194" s="381" t="s">
        <v>283</v>
      </c>
      <c r="C194" s="371">
        <v>11</v>
      </c>
      <c r="D194" s="295">
        <v>590</v>
      </c>
    </row>
    <row r="195" spans="1:4">
      <c r="A195" s="293">
        <v>176</v>
      </c>
      <c r="B195" s="381" t="s">
        <v>283</v>
      </c>
      <c r="C195" s="371">
        <v>46</v>
      </c>
      <c r="D195" s="299">
        <v>3565</v>
      </c>
    </row>
    <row r="196" spans="1:4">
      <c r="A196" s="293">
        <v>177</v>
      </c>
      <c r="B196" s="381" t="s">
        <v>283</v>
      </c>
      <c r="C196" s="371">
        <v>50</v>
      </c>
      <c r="D196" s="299">
        <v>510</v>
      </c>
    </row>
    <row r="197" spans="1:4">
      <c r="A197" s="293">
        <v>178</v>
      </c>
      <c r="B197" s="375" t="s">
        <v>284</v>
      </c>
      <c r="C197" s="382">
        <v>18</v>
      </c>
      <c r="D197" s="296">
        <v>1786</v>
      </c>
    </row>
    <row r="198" spans="1:4">
      <c r="A198" s="293">
        <v>179</v>
      </c>
      <c r="B198" s="375" t="s">
        <v>284</v>
      </c>
      <c r="C198" s="374">
        <v>20</v>
      </c>
      <c r="D198" s="296">
        <v>1786</v>
      </c>
    </row>
    <row r="199" spans="1:4">
      <c r="A199" s="293">
        <v>180</v>
      </c>
      <c r="B199" s="375" t="s">
        <v>285</v>
      </c>
      <c r="C199" s="374">
        <v>7</v>
      </c>
      <c r="D199" s="296">
        <v>1100</v>
      </c>
    </row>
    <row r="200" spans="1:4">
      <c r="A200" s="293">
        <v>181</v>
      </c>
      <c r="B200" s="375" t="s">
        <v>285</v>
      </c>
      <c r="C200" s="374" t="s">
        <v>246</v>
      </c>
      <c r="D200" s="296">
        <v>1110</v>
      </c>
    </row>
    <row r="201" spans="1:4">
      <c r="A201" s="293">
        <v>182</v>
      </c>
      <c r="B201" s="375" t="s">
        <v>285</v>
      </c>
      <c r="C201" s="374">
        <v>9</v>
      </c>
      <c r="D201" s="296">
        <v>1010</v>
      </c>
    </row>
    <row r="202" spans="1:4">
      <c r="A202" s="293">
        <v>183</v>
      </c>
      <c r="B202" s="375" t="s">
        <v>285</v>
      </c>
      <c r="C202" s="374" t="s">
        <v>286</v>
      </c>
      <c r="D202" s="296">
        <v>1210</v>
      </c>
    </row>
    <row r="203" spans="1:4">
      <c r="A203" s="293">
        <v>184</v>
      </c>
      <c r="B203" s="375" t="s">
        <v>285</v>
      </c>
      <c r="C203" s="374">
        <v>13</v>
      </c>
      <c r="D203" s="296">
        <v>3100</v>
      </c>
    </row>
    <row r="204" spans="1:4">
      <c r="A204" s="293">
        <v>185</v>
      </c>
      <c r="B204" s="375" t="s">
        <v>285</v>
      </c>
      <c r="C204" s="374">
        <v>15</v>
      </c>
      <c r="D204" s="296">
        <v>2918</v>
      </c>
    </row>
    <row r="205" spans="1:4">
      <c r="A205" s="293">
        <v>186</v>
      </c>
      <c r="B205" s="375" t="s">
        <v>287</v>
      </c>
      <c r="C205" s="374">
        <v>9</v>
      </c>
      <c r="D205" s="296">
        <v>3500</v>
      </c>
    </row>
    <row r="206" spans="1:4">
      <c r="A206" s="293">
        <v>187</v>
      </c>
      <c r="B206" s="375" t="s">
        <v>287</v>
      </c>
      <c r="C206" s="374">
        <v>13</v>
      </c>
      <c r="D206" s="296">
        <v>2400</v>
      </c>
    </row>
    <row r="207" spans="1:4">
      <c r="A207" s="293">
        <v>188</v>
      </c>
      <c r="B207" s="375" t="s">
        <v>287</v>
      </c>
      <c r="C207" s="374">
        <v>23</v>
      </c>
      <c r="D207" s="296">
        <v>1539.1</v>
      </c>
    </row>
    <row r="208" spans="1:4">
      <c r="A208" s="293">
        <v>189</v>
      </c>
      <c r="B208" s="370" t="s">
        <v>288</v>
      </c>
      <c r="C208" s="383">
        <v>8</v>
      </c>
      <c r="D208" s="297">
        <v>1194.2</v>
      </c>
    </row>
    <row r="209" spans="1:4">
      <c r="A209" s="293">
        <v>190</v>
      </c>
      <c r="B209" s="370" t="s">
        <v>288</v>
      </c>
      <c r="C209" s="383">
        <v>10</v>
      </c>
      <c r="D209" s="297">
        <v>964.2</v>
      </c>
    </row>
    <row r="210" spans="1:4">
      <c r="A210" s="293">
        <v>191</v>
      </c>
      <c r="B210" s="370" t="s">
        <v>288</v>
      </c>
      <c r="C210" s="383" t="s">
        <v>289</v>
      </c>
      <c r="D210" s="297">
        <v>649.1</v>
      </c>
    </row>
    <row r="211" spans="1:4">
      <c r="A211" s="293">
        <v>192</v>
      </c>
      <c r="B211" s="370" t="s">
        <v>288</v>
      </c>
      <c r="C211" s="383">
        <v>22</v>
      </c>
      <c r="D211" s="297">
        <v>2991</v>
      </c>
    </row>
    <row r="212" spans="1:4">
      <c r="A212" s="293">
        <v>193</v>
      </c>
      <c r="B212" s="370" t="s">
        <v>288</v>
      </c>
      <c r="C212" s="383">
        <v>24</v>
      </c>
      <c r="D212" s="297">
        <v>1489.6</v>
      </c>
    </row>
    <row r="213" spans="1:4">
      <c r="A213" s="293">
        <v>194</v>
      </c>
      <c r="B213" s="370" t="s">
        <v>288</v>
      </c>
      <c r="C213" s="383">
        <v>26</v>
      </c>
      <c r="D213" s="297">
        <v>1949</v>
      </c>
    </row>
    <row r="214" spans="1:4">
      <c r="A214" s="293">
        <v>195</v>
      </c>
      <c r="B214" s="375" t="s">
        <v>290</v>
      </c>
      <c r="C214" s="383" t="s">
        <v>268</v>
      </c>
      <c r="D214" s="296">
        <v>1478</v>
      </c>
    </row>
    <row r="215" spans="1:4">
      <c r="A215" s="293">
        <v>196</v>
      </c>
      <c r="B215" s="375" t="s">
        <v>290</v>
      </c>
      <c r="C215" s="374">
        <v>28</v>
      </c>
      <c r="D215" s="297">
        <v>5095</v>
      </c>
    </row>
    <row r="216" spans="1:4">
      <c r="A216" s="293">
        <v>197</v>
      </c>
      <c r="B216" s="375" t="s">
        <v>290</v>
      </c>
      <c r="C216" s="374">
        <v>30</v>
      </c>
      <c r="D216" s="297">
        <v>3828</v>
      </c>
    </row>
    <row r="217" spans="1:4">
      <c r="A217" s="293">
        <v>198</v>
      </c>
      <c r="B217" s="375" t="s">
        <v>515</v>
      </c>
      <c r="C217" s="374">
        <v>6</v>
      </c>
      <c r="D217" s="297">
        <v>2440</v>
      </c>
    </row>
    <row r="218" spans="1:4">
      <c r="A218" s="293">
        <v>199</v>
      </c>
      <c r="B218" s="375" t="s">
        <v>291</v>
      </c>
      <c r="C218" s="371">
        <v>13</v>
      </c>
      <c r="D218" s="296">
        <v>2679</v>
      </c>
    </row>
    <row r="219" spans="1:4">
      <c r="A219" s="293">
        <v>200</v>
      </c>
      <c r="B219" s="386" t="s">
        <v>292</v>
      </c>
      <c r="C219" s="374">
        <v>7</v>
      </c>
      <c r="D219" s="296">
        <v>1263</v>
      </c>
    </row>
    <row r="220" spans="1:4">
      <c r="A220" s="293">
        <v>201</v>
      </c>
      <c r="B220" s="386" t="s">
        <v>292</v>
      </c>
      <c r="C220" s="374">
        <v>9</v>
      </c>
      <c r="D220" s="297">
        <v>2458</v>
      </c>
    </row>
    <row r="221" spans="1:4">
      <c r="A221" s="293">
        <v>202</v>
      </c>
      <c r="B221" s="386" t="s">
        <v>292</v>
      </c>
      <c r="C221" s="374" t="s">
        <v>286</v>
      </c>
      <c r="D221" s="297">
        <v>500</v>
      </c>
    </row>
    <row r="222" spans="1:4">
      <c r="A222" s="293">
        <v>203</v>
      </c>
      <c r="B222" s="384" t="s">
        <v>293</v>
      </c>
      <c r="C222" s="374">
        <v>19</v>
      </c>
      <c r="D222" s="296">
        <v>1977</v>
      </c>
    </row>
    <row r="223" spans="1:4">
      <c r="A223" s="293">
        <v>204</v>
      </c>
      <c r="B223" s="369" t="s">
        <v>293</v>
      </c>
      <c r="C223" s="364">
        <v>21</v>
      </c>
      <c r="D223" s="297">
        <v>1145</v>
      </c>
    </row>
    <row r="224" spans="1:4">
      <c r="A224" s="293">
        <v>205</v>
      </c>
      <c r="B224" s="369" t="s">
        <v>293</v>
      </c>
      <c r="C224" s="293" t="s">
        <v>294</v>
      </c>
      <c r="D224" s="294">
        <v>809</v>
      </c>
    </row>
    <row r="225" spans="1:4">
      <c r="A225" s="293">
        <v>206</v>
      </c>
      <c r="B225" s="369" t="s">
        <v>293</v>
      </c>
      <c r="C225" s="387" t="s">
        <v>295</v>
      </c>
      <c r="D225" s="294">
        <v>632</v>
      </c>
    </row>
    <row r="226" spans="1:4">
      <c r="A226" s="293">
        <v>207</v>
      </c>
      <c r="B226" s="375" t="s">
        <v>293</v>
      </c>
      <c r="C226" s="378" t="s">
        <v>296</v>
      </c>
      <c r="D226" s="294">
        <v>3366</v>
      </c>
    </row>
    <row r="227" spans="1:4">
      <c r="A227" s="293">
        <v>208</v>
      </c>
      <c r="B227" s="370" t="s">
        <v>293</v>
      </c>
      <c r="C227" s="293">
        <v>29</v>
      </c>
      <c r="D227" s="296">
        <v>590</v>
      </c>
    </row>
    <row r="228" spans="1:4">
      <c r="A228" s="293">
        <v>209</v>
      </c>
      <c r="B228" s="370" t="s">
        <v>293</v>
      </c>
      <c r="C228" s="293">
        <v>31</v>
      </c>
      <c r="D228" s="293">
        <v>1000</v>
      </c>
    </row>
    <row r="229" spans="1:4">
      <c r="A229" s="293">
        <v>210</v>
      </c>
      <c r="B229" s="370" t="s">
        <v>297</v>
      </c>
      <c r="C229" s="293">
        <v>5</v>
      </c>
      <c r="D229" s="293">
        <v>1353</v>
      </c>
    </row>
    <row r="230" spans="1:4">
      <c r="A230" s="293">
        <v>211</v>
      </c>
      <c r="B230" s="370" t="s">
        <v>297</v>
      </c>
      <c r="C230" s="293">
        <v>7</v>
      </c>
      <c r="D230" s="293">
        <v>1490</v>
      </c>
    </row>
    <row r="231" spans="1:4">
      <c r="A231" s="293">
        <v>212</v>
      </c>
      <c r="B231" s="370" t="s">
        <v>297</v>
      </c>
      <c r="C231" s="293">
        <v>9</v>
      </c>
      <c r="D231" s="293">
        <v>1461</v>
      </c>
    </row>
    <row r="232" spans="1:4">
      <c r="A232" s="293">
        <v>213</v>
      </c>
      <c r="B232" s="370" t="s">
        <v>297</v>
      </c>
      <c r="C232" s="293">
        <v>11</v>
      </c>
      <c r="D232" s="293">
        <v>1380</v>
      </c>
    </row>
    <row r="233" spans="1:4">
      <c r="A233" s="293">
        <v>214</v>
      </c>
      <c r="B233" s="370" t="s">
        <v>297</v>
      </c>
      <c r="C233" s="293">
        <v>13</v>
      </c>
      <c r="D233" s="293">
        <v>1370</v>
      </c>
    </row>
    <row r="234" spans="1:4">
      <c r="A234" s="293">
        <v>215</v>
      </c>
      <c r="B234" s="370" t="s">
        <v>297</v>
      </c>
      <c r="C234" s="293">
        <v>17</v>
      </c>
      <c r="D234" s="293">
        <v>800</v>
      </c>
    </row>
    <row r="235" spans="1:4">
      <c r="A235" s="293">
        <v>216</v>
      </c>
      <c r="B235" s="370" t="s">
        <v>298</v>
      </c>
      <c r="C235" s="388">
        <v>22</v>
      </c>
      <c r="D235" s="293">
        <v>2142</v>
      </c>
    </row>
    <row r="236" spans="1:4">
      <c r="A236" s="293">
        <v>217</v>
      </c>
      <c r="B236" s="370" t="s">
        <v>298</v>
      </c>
      <c r="C236" s="364" t="s">
        <v>299</v>
      </c>
      <c r="D236" s="295">
        <v>2248.1999999999998</v>
      </c>
    </row>
    <row r="237" spans="1:4">
      <c r="A237" s="293">
        <v>218</v>
      </c>
      <c r="B237" s="370" t="s">
        <v>298</v>
      </c>
      <c r="C237" s="371" t="s">
        <v>300</v>
      </c>
      <c r="D237" s="295">
        <v>1104.8</v>
      </c>
    </row>
    <row r="238" spans="1:4">
      <c r="A238" s="293">
        <v>219</v>
      </c>
      <c r="B238" s="375" t="s">
        <v>298</v>
      </c>
      <c r="C238" s="371">
        <v>26</v>
      </c>
      <c r="D238" s="295">
        <v>2284</v>
      </c>
    </row>
    <row r="239" spans="1:4">
      <c r="A239" s="293">
        <v>220</v>
      </c>
      <c r="B239" s="370" t="s">
        <v>298</v>
      </c>
      <c r="C239" s="374">
        <v>28</v>
      </c>
      <c r="D239" s="296">
        <v>2035</v>
      </c>
    </row>
    <row r="240" spans="1:4">
      <c r="A240" s="293">
        <v>221</v>
      </c>
      <c r="B240" s="370" t="s">
        <v>301</v>
      </c>
      <c r="C240" s="374">
        <v>6</v>
      </c>
      <c r="D240" s="296">
        <v>4950.5</v>
      </c>
    </row>
    <row r="241" spans="1:4">
      <c r="A241" s="293">
        <v>222</v>
      </c>
      <c r="B241" s="369" t="s">
        <v>302</v>
      </c>
      <c r="C241" s="383">
        <v>3</v>
      </c>
      <c r="D241" s="294">
        <v>5787</v>
      </c>
    </row>
    <row r="242" spans="1:4">
      <c r="A242" s="293">
        <v>223</v>
      </c>
      <c r="B242" s="369" t="s">
        <v>302</v>
      </c>
      <c r="C242" s="293" t="s">
        <v>303</v>
      </c>
      <c r="D242" s="298">
        <v>1729</v>
      </c>
    </row>
    <row r="243" spans="1:4">
      <c r="A243" s="293">
        <v>224</v>
      </c>
      <c r="B243" s="381" t="s">
        <v>304</v>
      </c>
      <c r="C243" s="382">
        <v>1</v>
      </c>
      <c r="D243" s="296">
        <v>10880</v>
      </c>
    </row>
    <row r="244" spans="1:4">
      <c r="A244" s="293">
        <v>225</v>
      </c>
      <c r="B244" s="381" t="s">
        <v>304</v>
      </c>
      <c r="C244" s="374">
        <v>2</v>
      </c>
      <c r="D244" s="298">
        <v>3410</v>
      </c>
    </row>
    <row r="245" spans="1:4">
      <c r="A245" s="293">
        <v>226</v>
      </c>
      <c r="B245" s="381" t="s">
        <v>304</v>
      </c>
      <c r="C245" s="382">
        <v>4</v>
      </c>
      <c r="D245" s="298">
        <v>3310</v>
      </c>
    </row>
    <row r="246" spans="1:4">
      <c r="A246" s="293">
        <v>227</v>
      </c>
      <c r="B246" s="381" t="s">
        <v>304</v>
      </c>
      <c r="C246" s="382">
        <v>6</v>
      </c>
      <c r="D246" s="294">
        <v>2890</v>
      </c>
    </row>
    <row r="247" spans="1:4">
      <c r="A247" s="293">
        <v>228</v>
      </c>
      <c r="B247" s="381" t="s">
        <v>304</v>
      </c>
      <c r="C247" s="382">
        <v>8</v>
      </c>
      <c r="D247" s="294">
        <v>5717</v>
      </c>
    </row>
    <row r="248" spans="1:4">
      <c r="A248" s="293">
        <v>229</v>
      </c>
      <c r="B248" s="375" t="s">
        <v>305</v>
      </c>
      <c r="C248" s="293">
        <v>1</v>
      </c>
      <c r="D248" s="298">
        <v>3975</v>
      </c>
    </row>
    <row r="249" spans="1:4">
      <c r="A249" s="293">
        <v>230</v>
      </c>
      <c r="B249" s="375" t="s">
        <v>305</v>
      </c>
      <c r="C249" s="382">
        <v>7</v>
      </c>
      <c r="D249" s="296">
        <v>2866</v>
      </c>
    </row>
    <row r="250" spans="1:4">
      <c r="A250" s="293">
        <v>231</v>
      </c>
      <c r="B250" s="375" t="s">
        <v>305</v>
      </c>
      <c r="C250" s="374">
        <v>9</v>
      </c>
      <c r="D250" s="296">
        <v>3715</v>
      </c>
    </row>
    <row r="251" spans="1:4">
      <c r="A251" s="293">
        <v>232</v>
      </c>
      <c r="B251" s="375" t="s">
        <v>305</v>
      </c>
      <c r="C251" s="374">
        <v>16</v>
      </c>
      <c r="D251" s="296">
        <v>2481</v>
      </c>
    </row>
    <row r="252" spans="1:4">
      <c r="A252" s="293">
        <v>233</v>
      </c>
      <c r="B252" s="375" t="s">
        <v>305</v>
      </c>
      <c r="C252" s="374">
        <v>18</v>
      </c>
      <c r="D252" s="296">
        <v>2781.5</v>
      </c>
    </row>
    <row r="253" spans="1:4">
      <c r="A253" s="293">
        <v>234</v>
      </c>
      <c r="B253" s="375" t="s">
        <v>305</v>
      </c>
      <c r="C253" s="374">
        <v>40</v>
      </c>
      <c r="D253" s="296">
        <v>1931</v>
      </c>
    </row>
    <row r="254" spans="1:4">
      <c r="A254" s="293">
        <v>235</v>
      </c>
      <c r="B254" s="375" t="s">
        <v>305</v>
      </c>
      <c r="C254" s="374" t="s">
        <v>306</v>
      </c>
      <c r="D254" s="296">
        <v>2825</v>
      </c>
    </row>
    <row r="255" spans="1:4">
      <c r="A255" s="293">
        <v>236</v>
      </c>
      <c r="B255" s="375" t="s">
        <v>305</v>
      </c>
      <c r="C255" s="374">
        <v>49</v>
      </c>
      <c r="D255" s="296">
        <v>7624</v>
      </c>
    </row>
    <row r="256" spans="1:4">
      <c r="A256" s="293">
        <v>237</v>
      </c>
      <c r="B256" s="375" t="s">
        <v>305</v>
      </c>
      <c r="C256" s="374">
        <v>51</v>
      </c>
      <c r="D256" s="296">
        <v>9233</v>
      </c>
    </row>
    <row r="257" spans="1:4">
      <c r="A257" s="293">
        <v>238</v>
      </c>
      <c r="B257" s="375" t="s">
        <v>305</v>
      </c>
      <c r="C257" s="374" t="s">
        <v>307</v>
      </c>
      <c r="D257" s="296">
        <v>7960</v>
      </c>
    </row>
    <row r="258" spans="1:4">
      <c r="A258" s="293">
        <v>239</v>
      </c>
      <c r="B258" s="375" t="s">
        <v>305</v>
      </c>
      <c r="C258" s="374">
        <v>53</v>
      </c>
      <c r="D258" s="296">
        <v>1719</v>
      </c>
    </row>
    <row r="259" spans="1:4">
      <c r="A259" s="293">
        <v>240</v>
      </c>
      <c r="B259" s="375" t="s">
        <v>305</v>
      </c>
      <c r="C259" s="374">
        <v>54</v>
      </c>
      <c r="D259" s="296">
        <v>2045</v>
      </c>
    </row>
    <row r="260" spans="1:4">
      <c r="A260" s="293">
        <v>241</v>
      </c>
      <c r="B260" s="375" t="s">
        <v>305</v>
      </c>
      <c r="C260" s="374">
        <v>57</v>
      </c>
      <c r="D260" s="296">
        <v>1300</v>
      </c>
    </row>
    <row r="261" spans="1:4">
      <c r="A261" s="293">
        <v>242</v>
      </c>
      <c r="B261" s="375" t="s">
        <v>305</v>
      </c>
      <c r="C261" s="374">
        <v>59</v>
      </c>
      <c r="D261" s="296">
        <v>14440</v>
      </c>
    </row>
    <row r="262" spans="1:4">
      <c r="A262" s="293">
        <v>243</v>
      </c>
      <c r="B262" s="375" t="s">
        <v>305</v>
      </c>
      <c r="C262" s="374">
        <v>61</v>
      </c>
      <c r="D262" s="296">
        <v>9900</v>
      </c>
    </row>
    <row r="263" spans="1:4">
      <c r="A263" s="293">
        <v>244</v>
      </c>
      <c r="B263" s="369" t="s">
        <v>308</v>
      </c>
      <c r="C263" s="374">
        <v>11</v>
      </c>
      <c r="D263" s="295">
        <v>322</v>
      </c>
    </row>
    <row r="264" spans="1:4">
      <c r="A264" s="293">
        <v>245</v>
      </c>
      <c r="B264" s="369" t="s">
        <v>308</v>
      </c>
      <c r="C264" s="371">
        <v>13</v>
      </c>
      <c r="D264" s="295">
        <v>610</v>
      </c>
    </row>
    <row r="265" spans="1:4">
      <c r="A265" s="293">
        <v>246</v>
      </c>
      <c r="B265" s="369" t="s">
        <v>308</v>
      </c>
      <c r="C265" s="371" t="s">
        <v>309</v>
      </c>
      <c r="D265" s="296">
        <v>2155</v>
      </c>
    </row>
    <row r="266" spans="1:4">
      <c r="A266" s="293">
        <v>247</v>
      </c>
      <c r="B266" s="369" t="s">
        <v>308</v>
      </c>
      <c r="C266" s="293">
        <v>15</v>
      </c>
      <c r="D266" s="294">
        <v>3611</v>
      </c>
    </row>
    <row r="267" spans="1:4">
      <c r="A267" s="293">
        <v>248</v>
      </c>
      <c r="B267" s="369" t="s">
        <v>308</v>
      </c>
      <c r="C267" s="293">
        <v>17</v>
      </c>
      <c r="D267" s="294">
        <v>969</v>
      </c>
    </row>
    <row r="268" spans="1:4">
      <c r="A268" s="293">
        <v>249</v>
      </c>
      <c r="B268" s="370" t="s">
        <v>308</v>
      </c>
      <c r="C268" s="293">
        <v>20</v>
      </c>
      <c r="D268" s="294">
        <v>1451</v>
      </c>
    </row>
    <row r="269" spans="1:4">
      <c r="A269" s="293">
        <v>250</v>
      </c>
      <c r="B269" s="370" t="s">
        <v>308</v>
      </c>
      <c r="C269" s="293">
        <v>24</v>
      </c>
      <c r="D269" s="295">
        <v>1811</v>
      </c>
    </row>
    <row r="270" spans="1:4">
      <c r="A270" s="293">
        <v>251</v>
      </c>
      <c r="B270" s="375" t="s">
        <v>310</v>
      </c>
      <c r="C270" s="371">
        <v>5</v>
      </c>
      <c r="D270" s="296">
        <v>2961</v>
      </c>
    </row>
    <row r="271" spans="1:4">
      <c r="A271" s="293">
        <v>252</v>
      </c>
      <c r="B271" s="375" t="s">
        <v>310</v>
      </c>
      <c r="C271" s="374">
        <v>6</v>
      </c>
      <c r="D271" s="296">
        <v>2504</v>
      </c>
    </row>
    <row r="272" spans="1:4">
      <c r="A272" s="293">
        <v>253</v>
      </c>
      <c r="B272" s="375" t="s">
        <v>310</v>
      </c>
      <c r="C272" s="374">
        <v>7</v>
      </c>
      <c r="D272" s="296">
        <v>4491</v>
      </c>
    </row>
    <row r="273" spans="1:4">
      <c r="A273" s="293">
        <v>254</v>
      </c>
      <c r="B273" s="369" t="s">
        <v>311</v>
      </c>
      <c r="C273" s="374">
        <v>11</v>
      </c>
      <c r="D273" s="296">
        <v>1900</v>
      </c>
    </row>
    <row r="274" spans="1:4">
      <c r="A274" s="293">
        <v>255</v>
      </c>
      <c r="B274" s="369" t="s">
        <v>311</v>
      </c>
      <c r="C274" s="374">
        <v>13</v>
      </c>
      <c r="D274" s="296">
        <v>1900</v>
      </c>
    </row>
    <row r="275" spans="1:4">
      <c r="A275" s="293">
        <v>256</v>
      </c>
      <c r="B275" s="372" t="s">
        <v>311</v>
      </c>
      <c r="C275" s="293">
        <v>15</v>
      </c>
      <c r="D275" s="296">
        <v>1350</v>
      </c>
    </row>
    <row r="276" spans="1:4">
      <c r="A276" s="293">
        <v>257</v>
      </c>
      <c r="B276" s="372" t="s">
        <v>311</v>
      </c>
      <c r="C276" s="293">
        <v>19</v>
      </c>
      <c r="D276" s="296">
        <v>1929</v>
      </c>
    </row>
    <row r="277" spans="1:4">
      <c r="A277" s="293">
        <v>258</v>
      </c>
      <c r="B277" s="384" t="s">
        <v>312</v>
      </c>
      <c r="C277" s="373">
        <v>20</v>
      </c>
      <c r="D277" s="297">
        <v>1300</v>
      </c>
    </row>
    <row r="278" spans="1:4">
      <c r="A278" s="293">
        <v>259</v>
      </c>
      <c r="B278" s="384" t="s">
        <v>312</v>
      </c>
      <c r="C278" s="373">
        <v>22</v>
      </c>
      <c r="D278" s="297">
        <v>1000</v>
      </c>
    </row>
    <row r="279" spans="1:4">
      <c r="A279" s="293">
        <v>260</v>
      </c>
      <c r="B279" s="370" t="s">
        <v>313</v>
      </c>
      <c r="C279" s="364">
        <v>2</v>
      </c>
      <c r="D279" s="297">
        <v>2708</v>
      </c>
    </row>
    <row r="280" spans="1:4">
      <c r="A280" s="293">
        <v>261</v>
      </c>
      <c r="B280" s="369" t="s">
        <v>314</v>
      </c>
      <c r="C280" s="364">
        <v>1</v>
      </c>
      <c r="D280" s="295">
        <v>1284</v>
      </c>
    </row>
    <row r="281" spans="1:4">
      <c r="A281" s="293">
        <v>262</v>
      </c>
      <c r="B281" s="369" t="s">
        <v>314</v>
      </c>
      <c r="C281" s="371">
        <v>2</v>
      </c>
      <c r="D281" s="294">
        <v>1423.58</v>
      </c>
    </row>
    <row r="282" spans="1:4">
      <c r="A282" s="293">
        <v>263</v>
      </c>
      <c r="B282" s="375" t="s">
        <v>315</v>
      </c>
      <c r="C282" s="293">
        <v>1</v>
      </c>
      <c r="D282" s="294">
        <v>1456</v>
      </c>
    </row>
    <row r="283" spans="1:4">
      <c r="A283" s="293">
        <v>264</v>
      </c>
      <c r="B283" s="375" t="s">
        <v>315</v>
      </c>
      <c r="C283" s="293" t="s">
        <v>241</v>
      </c>
      <c r="D283" s="297">
        <v>3971</v>
      </c>
    </row>
    <row r="284" spans="1:4">
      <c r="A284" s="293">
        <v>265</v>
      </c>
      <c r="B284" s="384" t="s">
        <v>316</v>
      </c>
      <c r="C284" s="374">
        <v>3</v>
      </c>
      <c r="D284" s="296">
        <v>2205</v>
      </c>
    </row>
    <row r="285" spans="1:4">
      <c r="A285" s="293">
        <v>266</v>
      </c>
      <c r="B285" s="384" t="s">
        <v>316</v>
      </c>
      <c r="C285" s="374">
        <v>7</v>
      </c>
      <c r="D285" s="293">
        <v>1133</v>
      </c>
    </row>
    <row r="286" spans="1:4">
      <c r="A286" s="293">
        <v>267</v>
      </c>
      <c r="B286" s="369" t="s">
        <v>317</v>
      </c>
      <c r="C286" s="364">
        <v>12</v>
      </c>
      <c r="D286" s="294">
        <v>4687</v>
      </c>
    </row>
    <row r="287" spans="1:4">
      <c r="A287" s="293">
        <v>268</v>
      </c>
      <c r="B287" s="369" t="s">
        <v>318</v>
      </c>
      <c r="C287" s="293">
        <v>1</v>
      </c>
      <c r="D287" s="294">
        <v>1749</v>
      </c>
    </row>
    <row r="288" spans="1:4">
      <c r="A288" s="293">
        <v>269</v>
      </c>
      <c r="B288" s="369" t="s">
        <v>318</v>
      </c>
      <c r="C288" s="293">
        <v>2</v>
      </c>
      <c r="D288" s="294">
        <v>1718</v>
      </c>
    </row>
    <row r="289" spans="1:4">
      <c r="A289" s="293">
        <v>270</v>
      </c>
      <c r="B289" s="369" t="s">
        <v>318</v>
      </c>
      <c r="C289" s="293">
        <v>3</v>
      </c>
      <c r="D289" s="294">
        <v>1754</v>
      </c>
    </row>
    <row r="290" spans="1:4">
      <c r="A290" s="293">
        <v>271</v>
      </c>
      <c r="B290" s="369" t="s">
        <v>318</v>
      </c>
      <c r="C290" s="293">
        <v>4</v>
      </c>
      <c r="D290" s="294">
        <v>300</v>
      </c>
    </row>
    <row r="291" spans="1:4">
      <c r="A291" s="293">
        <v>272</v>
      </c>
      <c r="B291" s="369" t="s">
        <v>318</v>
      </c>
      <c r="C291" s="293">
        <v>5</v>
      </c>
      <c r="D291" s="294">
        <v>1740</v>
      </c>
    </row>
    <row r="292" spans="1:4">
      <c r="A292" s="293">
        <v>273</v>
      </c>
      <c r="B292" s="369" t="s">
        <v>318</v>
      </c>
      <c r="C292" s="293" t="s">
        <v>319</v>
      </c>
      <c r="D292" s="294">
        <v>2245</v>
      </c>
    </row>
    <row r="293" spans="1:4">
      <c r="A293" s="293">
        <v>274</v>
      </c>
      <c r="B293" s="375" t="s">
        <v>320</v>
      </c>
      <c r="C293" s="293">
        <v>2</v>
      </c>
      <c r="D293" s="298">
        <v>4822</v>
      </c>
    </row>
    <row r="294" spans="1:4">
      <c r="A294" s="293">
        <v>275</v>
      </c>
      <c r="B294" s="375" t="s">
        <v>320</v>
      </c>
      <c r="C294" s="373">
        <v>4</v>
      </c>
      <c r="D294" s="298">
        <v>4072</v>
      </c>
    </row>
    <row r="295" spans="1:4">
      <c r="A295" s="293">
        <v>276</v>
      </c>
      <c r="B295" s="381" t="s">
        <v>320</v>
      </c>
      <c r="C295" s="374">
        <v>6</v>
      </c>
      <c r="D295" s="293">
        <v>7863</v>
      </c>
    </row>
    <row r="296" spans="1:4">
      <c r="A296" s="293">
        <v>277</v>
      </c>
      <c r="B296" s="381" t="s">
        <v>320</v>
      </c>
      <c r="C296" s="382">
        <v>7</v>
      </c>
      <c r="D296" s="293">
        <v>800</v>
      </c>
    </row>
    <row r="297" spans="1:4">
      <c r="A297" s="293">
        <v>278</v>
      </c>
      <c r="B297" s="381" t="s">
        <v>320</v>
      </c>
      <c r="C297" s="382" t="s">
        <v>246</v>
      </c>
      <c r="D297" s="298">
        <v>4380</v>
      </c>
    </row>
    <row r="298" spans="1:4">
      <c r="A298" s="293">
        <v>279</v>
      </c>
      <c r="B298" s="376" t="s">
        <v>321</v>
      </c>
      <c r="C298" s="382">
        <v>1</v>
      </c>
      <c r="D298" s="295">
        <v>1875</v>
      </c>
    </row>
    <row r="299" spans="1:4">
      <c r="A299" s="293">
        <v>280</v>
      </c>
      <c r="B299" s="376" t="s">
        <v>321</v>
      </c>
      <c r="C299" s="371">
        <v>3</v>
      </c>
      <c r="D299" s="294">
        <v>2234</v>
      </c>
    </row>
    <row r="300" spans="1:4">
      <c r="A300" s="293">
        <v>281</v>
      </c>
      <c r="B300" s="376" t="s">
        <v>321</v>
      </c>
      <c r="C300" s="364">
        <v>4</v>
      </c>
      <c r="D300" s="297">
        <v>1750</v>
      </c>
    </row>
    <row r="301" spans="1:4">
      <c r="A301" s="293">
        <v>282</v>
      </c>
      <c r="B301" s="369" t="s">
        <v>322</v>
      </c>
      <c r="C301" s="364">
        <v>5</v>
      </c>
      <c r="D301" s="294">
        <v>2776</v>
      </c>
    </row>
    <row r="302" spans="1:4">
      <c r="A302" s="293">
        <v>283</v>
      </c>
      <c r="B302" s="369" t="s">
        <v>322</v>
      </c>
      <c r="C302" s="364">
        <v>7</v>
      </c>
      <c r="D302" s="294">
        <v>2738</v>
      </c>
    </row>
    <row r="303" spans="1:4">
      <c r="A303" s="293">
        <v>284</v>
      </c>
      <c r="B303" s="369" t="s">
        <v>322</v>
      </c>
      <c r="C303" s="293">
        <v>9</v>
      </c>
      <c r="D303" s="294">
        <v>2957.3</v>
      </c>
    </row>
    <row r="304" spans="1:4">
      <c r="A304" s="293">
        <v>285</v>
      </c>
      <c r="B304" s="370" t="s">
        <v>322</v>
      </c>
      <c r="C304" s="293">
        <v>10</v>
      </c>
      <c r="D304" s="295">
        <v>4067.9</v>
      </c>
    </row>
    <row r="305" spans="1:4">
      <c r="A305" s="293">
        <v>286</v>
      </c>
      <c r="B305" s="370" t="s">
        <v>322</v>
      </c>
      <c r="C305" s="293">
        <v>13</v>
      </c>
      <c r="D305" s="295">
        <v>3970</v>
      </c>
    </row>
    <row r="306" spans="1:4">
      <c r="A306" s="293">
        <v>287</v>
      </c>
      <c r="B306" s="370" t="s">
        <v>323</v>
      </c>
      <c r="C306" s="293">
        <v>5</v>
      </c>
      <c r="D306" s="295">
        <v>520</v>
      </c>
    </row>
    <row r="307" spans="1:4">
      <c r="A307" s="293">
        <v>288</v>
      </c>
      <c r="B307" s="372" t="s">
        <v>324</v>
      </c>
      <c r="C307" s="371">
        <v>11</v>
      </c>
      <c r="D307" s="295">
        <v>1383</v>
      </c>
    </row>
    <row r="308" spans="1:4">
      <c r="A308" s="293">
        <v>289</v>
      </c>
      <c r="B308" s="372" t="s">
        <v>324</v>
      </c>
      <c r="C308" s="371">
        <v>12</v>
      </c>
      <c r="D308" s="296">
        <v>1437</v>
      </c>
    </row>
    <row r="309" spans="1:4">
      <c r="A309" s="293">
        <v>290</v>
      </c>
      <c r="B309" s="372" t="s">
        <v>324</v>
      </c>
      <c r="C309" s="373">
        <v>14</v>
      </c>
      <c r="D309" s="296">
        <v>1450</v>
      </c>
    </row>
    <row r="310" spans="1:4">
      <c r="A310" s="293">
        <v>291</v>
      </c>
      <c r="B310" s="372" t="s">
        <v>324</v>
      </c>
      <c r="C310" s="373">
        <v>15</v>
      </c>
      <c r="D310" s="296">
        <v>345</v>
      </c>
    </row>
    <row r="311" spans="1:4">
      <c r="A311" s="293">
        <v>292</v>
      </c>
      <c r="B311" s="372" t="s">
        <v>324</v>
      </c>
      <c r="C311" s="373">
        <v>18</v>
      </c>
      <c r="D311" s="296">
        <v>620</v>
      </c>
    </row>
    <row r="312" spans="1:4">
      <c r="A312" s="293">
        <v>293</v>
      </c>
      <c r="B312" s="370" t="s">
        <v>325</v>
      </c>
      <c r="C312" s="373">
        <v>5</v>
      </c>
      <c r="D312" s="294">
        <v>4230</v>
      </c>
    </row>
    <row r="313" spans="1:4">
      <c r="A313" s="293">
        <v>294</v>
      </c>
      <c r="B313" s="370" t="s">
        <v>325</v>
      </c>
      <c r="C313" s="293">
        <v>9</v>
      </c>
      <c r="D313" s="297">
        <v>1812</v>
      </c>
    </row>
    <row r="314" spans="1:4">
      <c r="A314" s="293">
        <v>295</v>
      </c>
      <c r="B314" s="370" t="s">
        <v>325</v>
      </c>
      <c r="C314" s="383" t="s">
        <v>286</v>
      </c>
      <c r="D314" s="297">
        <v>1738</v>
      </c>
    </row>
    <row r="315" spans="1:4">
      <c r="A315" s="293">
        <v>296</v>
      </c>
      <c r="B315" s="369" t="s">
        <v>326</v>
      </c>
      <c r="C315" s="383">
        <v>8</v>
      </c>
      <c r="D315" s="297">
        <v>1381</v>
      </c>
    </row>
    <row r="316" spans="1:4">
      <c r="A316" s="293">
        <v>297</v>
      </c>
      <c r="B316" s="369" t="s">
        <v>326</v>
      </c>
      <c r="C316" s="383">
        <v>14</v>
      </c>
      <c r="D316" s="295">
        <v>1072.7</v>
      </c>
    </row>
    <row r="317" spans="1:4">
      <c r="A317" s="293">
        <v>298</v>
      </c>
      <c r="B317" s="369" t="s">
        <v>326</v>
      </c>
      <c r="C317" s="371">
        <v>16</v>
      </c>
      <c r="D317" s="295">
        <v>1474.9</v>
      </c>
    </row>
    <row r="318" spans="1:4">
      <c r="A318" s="293">
        <v>299</v>
      </c>
      <c r="B318" s="370" t="s">
        <v>326</v>
      </c>
      <c r="C318" s="293">
        <v>18</v>
      </c>
      <c r="D318" s="295">
        <v>1291.5999999999999</v>
      </c>
    </row>
    <row r="319" spans="1:4">
      <c r="A319" s="293">
        <v>300</v>
      </c>
      <c r="B319" s="370" t="s">
        <v>326</v>
      </c>
      <c r="C319" s="293">
        <v>20</v>
      </c>
      <c r="D319" s="295">
        <v>1521.8</v>
      </c>
    </row>
    <row r="320" spans="1:4">
      <c r="A320" s="293">
        <v>301</v>
      </c>
      <c r="B320" s="370" t="s">
        <v>326</v>
      </c>
      <c r="C320" s="371">
        <v>22</v>
      </c>
      <c r="D320" s="295">
        <v>1064.9000000000001</v>
      </c>
    </row>
    <row r="321" spans="1:4">
      <c r="A321" s="293">
        <v>302</v>
      </c>
      <c r="B321" s="370" t="s">
        <v>326</v>
      </c>
      <c r="C321" s="371">
        <v>24</v>
      </c>
      <c r="D321" s="293">
        <v>580</v>
      </c>
    </row>
    <row r="322" spans="1:4">
      <c r="A322" s="293">
        <v>303</v>
      </c>
      <c r="B322" s="370" t="s">
        <v>326</v>
      </c>
      <c r="C322" s="371">
        <v>26</v>
      </c>
      <c r="D322" s="293">
        <v>1602</v>
      </c>
    </row>
    <row r="323" spans="1:4">
      <c r="A323" s="293">
        <v>304</v>
      </c>
      <c r="B323" s="370" t="s">
        <v>326</v>
      </c>
      <c r="C323" s="371">
        <v>28</v>
      </c>
      <c r="D323" s="293">
        <v>1688</v>
      </c>
    </row>
    <row r="324" spans="1:4">
      <c r="A324" s="293">
        <v>305</v>
      </c>
      <c r="B324" s="381" t="s">
        <v>327</v>
      </c>
      <c r="C324" s="371" t="s">
        <v>241</v>
      </c>
      <c r="D324" s="298">
        <v>4117</v>
      </c>
    </row>
    <row r="325" spans="1:4">
      <c r="A325" s="293">
        <v>306</v>
      </c>
      <c r="B325" s="381" t="s">
        <v>327</v>
      </c>
      <c r="C325" s="382" t="s">
        <v>328</v>
      </c>
      <c r="D325" s="294">
        <v>3889</v>
      </c>
    </row>
    <row r="326" spans="1:4">
      <c r="A326" s="293">
        <v>307</v>
      </c>
      <c r="B326" s="369" t="s">
        <v>327</v>
      </c>
      <c r="C326" s="382">
        <v>3</v>
      </c>
      <c r="D326" s="298">
        <v>2266</v>
      </c>
    </row>
    <row r="327" spans="1:4">
      <c r="A327" s="293">
        <v>308</v>
      </c>
      <c r="B327" s="369" t="s">
        <v>327</v>
      </c>
      <c r="C327" s="382" t="s">
        <v>278</v>
      </c>
      <c r="D327" s="293">
        <v>5566</v>
      </c>
    </row>
    <row r="328" spans="1:4">
      <c r="A328" s="293">
        <v>309</v>
      </c>
      <c r="B328" s="369" t="s">
        <v>327</v>
      </c>
      <c r="C328" s="293">
        <v>5</v>
      </c>
      <c r="D328" s="294">
        <v>6062.9</v>
      </c>
    </row>
    <row r="329" spans="1:4">
      <c r="A329" s="293">
        <v>310</v>
      </c>
      <c r="B329" s="369" t="s">
        <v>327</v>
      </c>
      <c r="C329" s="378" t="s">
        <v>329</v>
      </c>
      <c r="D329" s="294">
        <v>1038</v>
      </c>
    </row>
    <row r="330" spans="1:4">
      <c r="A330" s="293">
        <v>311</v>
      </c>
      <c r="B330" s="369" t="s">
        <v>327</v>
      </c>
      <c r="C330" s="389">
        <v>6</v>
      </c>
      <c r="D330" s="294">
        <v>3439.6</v>
      </c>
    </row>
    <row r="331" spans="1:4">
      <c r="A331" s="293">
        <v>312</v>
      </c>
      <c r="B331" s="369" t="s">
        <v>327</v>
      </c>
      <c r="C331" s="293">
        <v>7</v>
      </c>
      <c r="D331" s="294">
        <v>2057.7800000000002</v>
      </c>
    </row>
    <row r="332" spans="1:4">
      <c r="A332" s="293">
        <v>313</v>
      </c>
      <c r="B332" s="369" t="s">
        <v>327</v>
      </c>
      <c r="C332" s="293">
        <v>8</v>
      </c>
      <c r="D332" s="294">
        <v>3143</v>
      </c>
    </row>
    <row r="333" spans="1:4">
      <c r="A333" s="293">
        <v>314</v>
      </c>
      <c r="B333" s="369" t="s">
        <v>327</v>
      </c>
      <c r="C333" s="293">
        <v>9</v>
      </c>
      <c r="D333" s="294">
        <v>3255.46</v>
      </c>
    </row>
    <row r="334" spans="1:4">
      <c r="A334" s="293">
        <v>315</v>
      </c>
      <c r="B334" s="369" t="s">
        <v>327</v>
      </c>
      <c r="C334" s="293">
        <v>10</v>
      </c>
      <c r="D334" s="294">
        <v>3163.8</v>
      </c>
    </row>
    <row r="335" spans="1:4">
      <c r="A335" s="293">
        <v>316</v>
      </c>
      <c r="B335" s="369" t="s">
        <v>327</v>
      </c>
      <c r="C335" s="293" t="s">
        <v>224</v>
      </c>
      <c r="D335" s="294">
        <v>2019.34</v>
      </c>
    </row>
    <row r="336" spans="1:4">
      <c r="A336" s="293">
        <v>317</v>
      </c>
      <c r="B336" s="369" t="s">
        <v>327</v>
      </c>
      <c r="C336" s="293">
        <v>11</v>
      </c>
      <c r="D336" s="294">
        <v>3171.13</v>
      </c>
    </row>
    <row r="337" spans="1:4">
      <c r="A337" s="293">
        <v>318</v>
      </c>
      <c r="B337" s="369" t="s">
        <v>327</v>
      </c>
      <c r="C337" s="293">
        <v>12</v>
      </c>
      <c r="D337" s="294">
        <v>5431</v>
      </c>
    </row>
    <row r="338" spans="1:4">
      <c r="A338" s="293">
        <v>319</v>
      </c>
      <c r="B338" s="369" t="s">
        <v>327</v>
      </c>
      <c r="C338" s="293">
        <v>13</v>
      </c>
      <c r="D338" s="294">
        <v>5231.91</v>
      </c>
    </row>
    <row r="339" spans="1:4">
      <c r="A339" s="293">
        <v>320</v>
      </c>
      <c r="B339" s="369" t="s">
        <v>330</v>
      </c>
      <c r="C339" s="293">
        <v>58</v>
      </c>
      <c r="D339" s="294">
        <v>612</v>
      </c>
    </row>
    <row r="340" spans="1:4">
      <c r="A340" s="293">
        <v>321</v>
      </c>
      <c r="B340" s="369" t="s">
        <v>330</v>
      </c>
      <c r="C340" s="293">
        <v>59</v>
      </c>
      <c r="D340" s="294">
        <v>665</v>
      </c>
    </row>
  </sheetData>
  <mergeCells count="5">
    <mergeCell ref="C1:D1"/>
    <mergeCell ref="E20:E23"/>
    <mergeCell ref="E24:E43"/>
    <mergeCell ref="A2:D2"/>
    <mergeCell ref="D137:D140"/>
  </mergeCells>
  <pageMargins left="0.78740157480314965" right="0.39370078740157483" top="0.19685039370078741" bottom="0.19685039370078741" header="0.31496062992125984" footer="0.31496062992125984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4"/>
  <sheetViews>
    <sheetView topLeftCell="A22" workbookViewId="0">
      <selection activeCell="B46" sqref="B46"/>
    </sheetView>
  </sheetViews>
  <sheetFormatPr defaultColWidth="8.88671875" defaultRowHeight="13.8"/>
  <cols>
    <col min="1" max="1" width="8.44140625" style="10" customWidth="1"/>
    <col min="2" max="2" width="39.33203125" style="10" customWidth="1"/>
    <col min="3" max="3" width="25.5546875" style="10" customWidth="1"/>
    <col min="4" max="4" width="24.5546875" style="10" customWidth="1"/>
    <col min="5" max="16384" width="8.88671875" style="10"/>
  </cols>
  <sheetData>
    <row r="1" spans="1:4" ht="45.6" customHeight="1">
      <c r="C1" s="1248" t="s">
        <v>489</v>
      </c>
      <c r="D1" s="1248"/>
    </row>
    <row r="3" spans="1:4" ht="15.6" customHeight="1">
      <c r="A3" s="1295" t="s">
        <v>668</v>
      </c>
      <c r="B3" s="1295"/>
      <c r="C3" s="1295"/>
      <c r="D3" s="1295"/>
    </row>
    <row r="4" spans="1:4" ht="16.95" customHeight="1">
      <c r="A4" s="1296" t="s">
        <v>1009</v>
      </c>
      <c r="B4" s="1296"/>
      <c r="C4" s="1296"/>
      <c r="D4" s="1296"/>
    </row>
    <row r="5" spans="1:4" ht="91.95" customHeight="1">
      <c r="A5" s="1298" t="s">
        <v>636</v>
      </c>
      <c r="B5" s="1299"/>
      <c r="C5" s="1299"/>
      <c r="D5" s="1299"/>
    </row>
    <row r="6" spans="1:4" ht="27.6">
      <c r="A6" s="353" t="s">
        <v>0</v>
      </c>
      <c r="B6" s="353" t="s">
        <v>116</v>
      </c>
      <c r="C6" s="354" t="s">
        <v>126</v>
      </c>
      <c r="D6" s="354" t="s">
        <v>181</v>
      </c>
    </row>
    <row r="7" spans="1:4" ht="15.6">
      <c r="A7" s="353">
        <v>1</v>
      </c>
      <c r="B7" s="56" t="s">
        <v>132</v>
      </c>
      <c r="C7" s="57">
        <v>1972</v>
      </c>
      <c r="D7" s="911" t="s">
        <v>182</v>
      </c>
    </row>
    <row r="8" spans="1:4" ht="15.6">
      <c r="A8" s="353">
        <v>2</v>
      </c>
      <c r="B8" s="56" t="s">
        <v>133</v>
      </c>
      <c r="C8" s="57">
        <v>800</v>
      </c>
      <c r="D8" s="911"/>
    </row>
    <row r="9" spans="1:4" ht="15.6">
      <c r="A9" s="353">
        <v>3</v>
      </c>
      <c r="B9" s="56" t="s">
        <v>134</v>
      </c>
      <c r="C9" s="57">
        <v>2183</v>
      </c>
      <c r="D9" s="911"/>
    </row>
    <row r="10" spans="1:4" ht="15.6">
      <c r="A10" s="353">
        <v>4</v>
      </c>
      <c r="B10" s="56" t="s">
        <v>135</v>
      </c>
      <c r="C10" s="57">
        <v>641</v>
      </c>
      <c r="D10" s="911"/>
    </row>
    <row r="11" spans="1:4" ht="15.6">
      <c r="A11" s="353">
        <v>5</v>
      </c>
      <c r="B11" s="56" t="s">
        <v>138</v>
      </c>
      <c r="C11" s="57">
        <v>2310</v>
      </c>
      <c r="D11" s="911" t="s">
        <v>390</v>
      </c>
    </row>
    <row r="12" spans="1:4" ht="15.6">
      <c r="A12" s="353">
        <v>6</v>
      </c>
      <c r="B12" s="56" t="s">
        <v>145</v>
      </c>
      <c r="C12" s="57">
        <v>1370</v>
      </c>
      <c r="D12" s="911"/>
    </row>
    <row r="13" spans="1:4" ht="15.6">
      <c r="A13" s="353">
        <v>7</v>
      </c>
      <c r="B13" s="56" t="s">
        <v>137</v>
      </c>
      <c r="C13" s="57">
        <v>1562</v>
      </c>
      <c r="D13" s="911" t="s">
        <v>411</v>
      </c>
    </row>
    <row r="14" spans="1:4" ht="15.6">
      <c r="A14" s="353">
        <v>8</v>
      </c>
      <c r="B14" s="56" t="s">
        <v>139</v>
      </c>
      <c r="C14" s="57">
        <v>4388</v>
      </c>
      <c r="D14" s="911"/>
    </row>
    <row r="15" spans="1:4" ht="15.6">
      <c r="A15" s="353">
        <v>9</v>
      </c>
      <c r="B15" s="56" t="s">
        <v>146</v>
      </c>
      <c r="C15" s="57">
        <v>400</v>
      </c>
      <c r="D15" s="911"/>
    </row>
    <row r="16" spans="1:4" ht="15.6">
      <c r="A16" s="353">
        <v>10</v>
      </c>
      <c r="B16" s="56" t="s">
        <v>136</v>
      </c>
      <c r="C16" s="57">
        <v>2320</v>
      </c>
      <c r="D16" s="911" t="s">
        <v>799</v>
      </c>
    </row>
    <row r="17" spans="1:4" ht="15.6">
      <c r="A17" s="353">
        <v>11</v>
      </c>
      <c r="B17" s="56" t="s">
        <v>140</v>
      </c>
      <c r="C17" s="57">
        <v>4215.2</v>
      </c>
      <c r="D17" s="911"/>
    </row>
    <row r="18" spans="1:4" ht="15.6">
      <c r="A18" s="353">
        <v>12</v>
      </c>
      <c r="B18" s="56" t="s">
        <v>141</v>
      </c>
      <c r="C18" s="57">
        <v>1260</v>
      </c>
      <c r="D18" s="911" t="s">
        <v>933</v>
      </c>
    </row>
    <row r="19" spans="1:4" ht="15.6">
      <c r="A19" s="353">
        <v>13</v>
      </c>
      <c r="B19" s="56" t="s">
        <v>142</v>
      </c>
      <c r="C19" s="57">
        <v>1400</v>
      </c>
      <c r="D19" s="911"/>
    </row>
    <row r="20" spans="1:4" ht="15.6">
      <c r="A20" s="353">
        <v>14</v>
      </c>
      <c r="B20" s="56" t="s">
        <v>143</v>
      </c>
      <c r="C20" s="57">
        <v>5341</v>
      </c>
      <c r="D20" s="446" t="s">
        <v>770</v>
      </c>
    </row>
    <row r="21" spans="1:4" ht="15.6">
      <c r="A21" s="353">
        <v>15</v>
      </c>
      <c r="B21" s="56" t="s">
        <v>144</v>
      </c>
      <c r="C21" s="57">
        <v>1840</v>
      </c>
      <c r="D21" s="1293" t="s">
        <v>767</v>
      </c>
    </row>
    <row r="22" spans="1:4" ht="15.6">
      <c r="A22" s="353">
        <v>16</v>
      </c>
      <c r="B22" s="56" t="s">
        <v>147</v>
      </c>
      <c r="C22" s="57">
        <v>2440</v>
      </c>
      <c r="D22" s="1293"/>
    </row>
    <row r="23" spans="1:4" ht="15.6">
      <c r="A23" s="353">
        <v>17</v>
      </c>
      <c r="B23" s="56" t="s">
        <v>148</v>
      </c>
      <c r="C23" s="57">
        <v>1600</v>
      </c>
      <c r="D23" s="1293"/>
    </row>
    <row r="24" spans="1:4" ht="15.6">
      <c r="A24" s="353">
        <v>18</v>
      </c>
      <c r="B24" s="56" t="s">
        <v>149</v>
      </c>
      <c r="C24" s="57">
        <v>1000</v>
      </c>
      <c r="D24" s="1293"/>
    </row>
    <row r="25" spans="1:4" ht="15.6">
      <c r="A25" s="353">
        <v>19</v>
      </c>
      <c r="B25" s="56" t="s">
        <v>150</v>
      </c>
      <c r="C25" s="193">
        <v>2112.1999999999998</v>
      </c>
      <c r="D25" s="1293"/>
    </row>
    <row r="26" spans="1:4" ht="15.6">
      <c r="A26" s="353">
        <v>20</v>
      </c>
      <c r="B26" s="56" t="s">
        <v>151</v>
      </c>
      <c r="C26" s="193">
        <v>3828</v>
      </c>
      <c r="D26" s="1294"/>
    </row>
    <row r="27" spans="1:4" ht="16.95" customHeight="1">
      <c r="A27" s="1297" t="s">
        <v>669</v>
      </c>
      <c r="B27" s="1297"/>
      <c r="C27" s="1297"/>
      <c r="D27" s="1297"/>
    </row>
    <row r="28" spans="1:4" ht="95.4" customHeight="1">
      <c r="A28" s="1298" t="s">
        <v>1075</v>
      </c>
      <c r="B28" s="1299"/>
      <c r="C28" s="1299"/>
      <c r="D28" s="1299"/>
    </row>
    <row r="29" spans="1:4" ht="15.6">
      <c r="A29" s="410">
        <v>21</v>
      </c>
      <c r="B29" s="56" t="s">
        <v>625</v>
      </c>
      <c r="C29" s="193">
        <v>1500</v>
      </c>
      <c r="D29" s="1292" t="s">
        <v>632</v>
      </c>
    </row>
    <row r="30" spans="1:4" ht="15.6">
      <c r="A30" s="102">
        <v>22</v>
      </c>
      <c r="B30" s="413" t="s">
        <v>964</v>
      </c>
      <c r="C30" s="414">
        <v>1544</v>
      </c>
      <c r="D30" s="1293"/>
    </row>
    <row r="31" spans="1:4" ht="15.6">
      <c r="A31" s="102">
        <v>23</v>
      </c>
      <c r="B31" s="413" t="s">
        <v>965</v>
      </c>
      <c r="C31" s="414">
        <v>6416.4</v>
      </c>
      <c r="D31" s="1293"/>
    </row>
    <row r="32" spans="1:4" ht="15.6">
      <c r="A32" s="749">
        <v>24</v>
      </c>
      <c r="B32" s="413" t="s">
        <v>626</v>
      </c>
      <c r="C32" s="414">
        <v>2474</v>
      </c>
      <c r="D32" s="1293"/>
    </row>
    <row r="33" spans="1:4" ht="15.6">
      <c r="A33" s="102">
        <v>25</v>
      </c>
      <c r="B33" s="413" t="s">
        <v>627</v>
      </c>
      <c r="C33" s="414">
        <v>5095</v>
      </c>
      <c r="D33" s="1293"/>
    </row>
    <row r="34" spans="1:4" ht="15.6">
      <c r="A34" s="102">
        <v>26</v>
      </c>
      <c r="B34" s="413" t="s">
        <v>628</v>
      </c>
      <c r="C34" s="414">
        <v>1252.6300000000001</v>
      </c>
      <c r="D34" s="1293"/>
    </row>
    <row r="35" spans="1:4" ht="15.6">
      <c r="A35" s="749">
        <v>27</v>
      </c>
      <c r="B35" s="413" t="s">
        <v>629</v>
      </c>
      <c r="C35" s="414">
        <v>8128</v>
      </c>
      <c r="D35" s="1293"/>
    </row>
    <row r="36" spans="1:4" ht="14.4" customHeight="1">
      <c r="A36" s="102">
        <v>28</v>
      </c>
      <c r="B36" s="415" t="s">
        <v>630</v>
      </c>
      <c r="C36" s="414">
        <v>7592</v>
      </c>
      <c r="D36" s="1293"/>
    </row>
    <row r="37" spans="1:4" ht="15" customHeight="1">
      <c r="A37" s="102">
        <v>29</v>
      </c>
      <c r="B37" s="415" t="s">
        <v>631</v>
      </c>
      <c r="C37" s="414">
        <v>3888</v>
      </c>
      <c r="D37" s="1293"/>
    </row>
    <row r="38" spans="1:4">
      <c r="A38" s="749">
        <v>30</v>
      </c>
      <c r="B38" s="415" t="s">
        <v>966</v>
      </c>
      <c r="C38" s="414">
        <v>1875</v>
      </c>
      <c r="D38" s="1293"/>
    </row>
    <row r="39" spans="1:4">
      <c r="A39" s="102">
        <v>31</v>
      </c>
      <c r="B39" s="415" t="s">
        <v>967</v>
      </c>
      <c r="C39" s="414">
        <v>2735</v>
      </c>
      <c r="D39" s="1293"/>
    </row>
    <row r="40" spans="1:4">
      <c r="A40" s="102">
        <v>32</v>
      </c>
      <c r="B40" s="415" t="s">
        <v>968</v>
      </c>
      <c r="C40" s="414">
        <v>1200</v>
      </c>
      <c r="D40" s="1293"/>
    </row>
    <row r="41" spans="1:4">
      <c r="A41" s="749">
        <v>33</v>
      </c>
      <c r="B41" s="415" t="s">
        <v>969</v>
      </c>
      <c r="C41" s="414">
        <v>1719</v>
      </c>
      <c r="D41" s="1293"/>
    </row>
    <row r="42" spans="1:4">
      <c r="A42" s="102">
        <v>34</v>
      </c>
      <c r="B42" s="415" t="s">
        <v>1072</v>
      </c>
      <c r="C42" s="536">
        <v>1352.14</v>
      </c>
      <c r="D42" s="1293"/>
    </row>
    <row r="43" spans="1:4">
      <c r="A43" s="102">
        <v>35</v>
      </c>
      <c r="B43" s="415" t="s">
        <v>1073</v>
      </c>
      <c r="C43" s="536">
        <v>3310</v>
      </c>
      <c r="D43" s="1293"/>
    </row>
    <row r="44" spans="1:4">
      <c r="A44" s="749">
        <v>36</v>
      </c>
      <c r="B44" s="415" t="s">
        <v>1074</v>
      </c>
      <c r="C44" s="536">
        <v>2363</v>
      </c>
      <c r="D44" s="1294"/>
    </row>
  </sheetData>
  <mergeCells count="13">
    <mergeCell ref="D29:D44"/>
    <mergeCell ref="C1:D1"/>
    <mergeCell ref="A3:D3"/>
    <mergeCell ref="D11:D12"/>
    <mergeCell ref="D13:D15"/>
    <mergeCell ref="A4:D4"/>
    <mergeCell ref="A27:D27"/>
    <mergeCell ref="A5:D5"/>
    <mergeCell ref="A28:D28"/>
    <mergeCell ref="D7:D10"/>
    <mergeCell ref="D16:D17"/>
    <mergeCell ref="D18:D19"/>
    <mergeCell ref="D21:D26"/>
  </mergeCells>
  <pageMargins left="0.78740157480314965" right="0.39370078740157483" top="0.39370078740157483" bottom="0.19685039370078741" header="0.31496062992125984" footer="0.31496062992125984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5"/>
  <sheetViews>
    <sheetView topLeftCell="A32" workbookViewId="0">
      <selection activeCell="B47" sqref="B47"/>
    </sheetView>
  </sheetViews>
  <sheetFormatPr defaultColWidth="8.88671875" defaultRowHeight="13.8"/>
  <cols>
    <col min="1" max="1" width="7.44140625" style="10" customWidth="1"/>
    <col min="2" max="2" width="50" style="10" customWidth="1"/>
    <col min="3" max="3" width="23.6640625" style="10" customWidth="1"/>
    <col min="4" max="4" width="8.88671875" style="10"/>
    <col min="5" max="5" width="8.88671875" style="10" customWidth="1"/>
    <col min="6" max="16384" width="8.88671875" style="10"/>
  </cols>
  <sheetData>
    <row r="1" spans="1:5" ht="70.2" customHeight="1">
      <c r="B1" s="1248" t="s">
        <v>462</v>
      </c>
      <c r="C1" s="1248"/>
      <c r="D1" s="124"/>
      <c r="E1" s="124"/>
    </row>
    <row r="2" spans="1:5" ht="34.950000000000003" customHeight="1">
      <c r="A2" s="1303" t="s">
        <v>344</v>
      </c>
      <c r="B2" s="1303"/>
      <c r="C2" s="1303"/>
    </row>
    <row r="3" spans="1:5" ht="16.95" customHeight="1"/>
    <row r="4" spans="1:5" hidden="1"/>
    <row r="5" spans="1:5" hidden="1"/>
    <row r="6" spans="1:5" hidden="1"/>
    <row r="7" spans="1:5" hidden="1"/>
    <row r="8" spans="1:5" hidden="1"/>
    <row r="9" spans="1:5" hidden="1"/>
    <row r="10" spans="1:5" hidden="1"/>
    <row r="11" spans="1:5" hidden="1"/>
    <row r="12" spans="1:5" hidden="1"/>
    <row r="13" spans="1:5" hidden="1"/>
    <row r="14" spans="1:5" hidden="1"/>
    <row r="15" spans="1:5" hidden="1"/>
    <row r="16" spans="1:5" hidden="1"/>
    <row r="17" spans="1:3" hidden="1"/>
    <row r="18" spans="1:3" hidden="1"/>
    <row r="19" spans="1:3" hidden="1"/>
    <row r="20" spans="1:3" ht="24.6" customHeight="1">
      <c r="A20" s="125" t="s">
        <v>0</v>
      </c>
      <c r="B20" s="911" t="s">
        <v>184</v>
      </c>
      <c r="C20" s="911"/>
    </row>
    <row r="21" spans="1:3" ht="19.95" customHeight="1">
      <c r="A21" s="125">
        <v>1</v>
      </c>
      <c r="B21" s="910" t="s">
        <v>183</v>
      </c>
      <c r="C21" s="910"/>
    </row>
    <row r="22" spans="1:3" ht="19.95" customHeight="1">
      <c r="A22" s="125">
        <v>2</v>
      </c>
      <c r="B22" s="910" t="s">
        <v>361</v>
      </c>
      <c r="C22" s="910"/>
    </row>
    <row r="23" spans="1:3" ht="19.95" customHeight="1">
      <c r="A23" s="125">
        <v>3</v>
      </c>
      <c r="B23" s="910" t="s">
        <v>332</v>
      </c>
      <c r="C23" s="910"/>
    </row>
    <row r="24" spans="1:3" ht="19.95" customHeight="1">
      <c r="A24" s="55">
        <v>4</v>
      </c>
      <c r="B24" s="1302" t="s">
        <v>333</v>
      </c>
      <c r="C24" s="1302"/>
    </row>
    <row r="25" spans="1:3" ht="19.95" customHeight="1">
      <c r="A25" s="55">
        <v>5</v>
      </c>
      <c r="B25" s="1302" t="s">
        <v>334</v>
      </c>
      <c r="C25" s="1302"/>
    </row>
    <row r="26" spans="1:3" ht="19.95" customHeight="1">
      <c r="A26" s="125">
        <v>6</v>
      </c>
      <c r="B26" s="910" t="s">
        <v>335</v>
      </c>
      <c r="C26" s="910"/>
    </row>
    <row r="27" spans="1:3" ht="19.95" customHeight="1">
      <c r="A27" s="125">
        <v>7</v>
      </c>
      <c r="B27" s="910" t="s">
        <v>336</v>
      </c>
      <c r="C27" s="910"/>
    </row>
    <row r="28" spans="1:3" ht="19.95" customHeight="1">
      <c r="A28" s="125">
        <v>8</v>
      </c>
      <c r="B28" s="910" t="s">
        <v>340</v>
      </c>
      <c r="C28" s="910"/>
    </row>
    <row r="29" spans="1:3" ht="19.95" customHeight="1">
      <c r="A29" s="55">
        <v>9</v>
      </c>
      <c r="B29" s="910" t="s">
        <v>341</v>
      </c>
      <c r="C29" s="910"/>
    </row>
    <row r="30" spans="1:3" ht="19.95" customHeight="1">
      <c r="A30" s="55">
        <v>10</v>
      </c>
      <c r="B30" s="910" t="s">
        <v>342</v>
      </c>
      <c r="C30" s="910"/>
    </row>
    <row r="31" spans="1:3" ht="19.95" customHeight="1">
      <c r="A31" s="125">
        <v>11</v>
      </c>
      <c r="B31" s="910" t="s">
        <v>188</v>
      </c>
      <c r="C31" s="910"/>
    </row>
    <row r="32" spans="1:3" ht="19.95" customHeight="1">
      <c r="A32" s="125">
        <v>12</v>
      </c>
      <c r="B32" s="1307" t="s">
        <v>461</v>
      </c>
      <c r="C32" s="1307"/>
    </row>
    <row r="33" spans="1:3" ht="19.95" customHeight="1">
      <c r="A33" s="125">
        <v>13</v>
      </c>
      <c r="B33" s="910" t="s">
        <v>343</v>
      </c>
      <c r="C33" s="910"/>
    </row>
    <row r="34" spans="1:3" ht="19.95" customHeight="1">
      <c r="A34" s="55">
        <v>14</v>
      </c>
      <c r="B34" s="910" t="s">
        <v>337</v>
      </c>
      <c r="C34" s="910"/>
    </row>
    <row r="35" spans="1:3" ht="19.95" customHeight="1">
      <c r="A35" s="55">
        <v>15</v>
      </c>
      <c r="B35" s="910" t="s">
        <v>338</v>
      </c>
      <c r="C35" s="910"/>
    </row>
    <row r="36" spans="1:3" ht="19.95" customHeight="1">
      <c r="A36" s="125">
        <v>16</v>
      </c>
      <c r="B36" s="910" t="s">
        <v>339</v>
      </c>
      <c r="C36" s="910"/>
    </row>
    <row r="37" spans="1:3" ht="19.95" customHeight="1">
      <c r="A37" s="221">
        <v>17</v>
      </c>
      <c r="B37" s="1306" t="s">
        <v>659</v>
      </c>
      <c r="C37" s="1306"/>
    </row>
    <row r="38" spans="1:3" ht="21.6" customHeight="1">
      <c r="A38" s="193">
        <v>18</v>
      </c>
      <c r="B38" s="1304" t="s">
        <v>449</v>
      </c>
      <c r="C38" s="1305"/>
    </row>
    <row r="39" spans="1:3" ht="21.6" customHeight="1">
      <c r="A39" s="193">
        <v>19</v>
      </c>
      <c r="B39" s="1300" t="s">
        <v>460</v>
      </c>
      <c r="C39" s="1301"/>
    </row>
    <row r="40" spans="1:3" ht="21.6" customHeight="1">
      <c r="A40" s="350">
        <v>20</v>
      </c>
      <c r="B40" s="1300" t="s">
        <v>885</v>
      </c>
      <c r="C40" s="1301"/>
    </row>
    <row r="41" spans="1:3" ht="21.6" customHeight="1">
      <c r="A41" s="350">
        <v>21</v>
      </c>
      <c r="B41" s="1300" t="s">
        <v>886</v>
      </c>
      <c r="C41" s="1301"/>
    </row>
    <row r="42" spans="1:3" ht="18.600000000000001" customHeight="1">
      <c r="A42" s="350">
        <v>22</v>
      </c>
      <c r="B42" s="1300" t="s">
        <v>887</v>
      </c>
      <c r="C42" s="1301"/>
    </row>
    <row r="43" spans="1:3" ht="18.600000000000001" customHeight="1">
      <c r="A43" s="648">
        <v>23</v>
      </c>
      <c r="B43" s="1300" t="s">
        <v>1139</v>
      </c>
      <c r="C43" s="1301"/>
    </row>
    <row r="44" spans="1:3" ht="18.600000000000001" customHeight="1">
      <c r="A44" s="648">
        <v>24</v>
      </c>
      <c r="B44" s="1300" t="s">
        <v>1140</v>
      </c>
      <c r="C44" s="1301"/>
    </row>
    <row r="45" spans="1:3" ht="18.600000000000001" customHeight="1"/>
  </sheetData>
  <mergeCells count="27">
    <mergeCell ref="B40:C40"/>
    <mergeCell ref="B41:C41"/>
    <mergeCell ref="B38:C38"/>
    <mergeCell ref="B24:C24"/>
    <mergeCell ref="B42:C42"/>
    <mergeCell ref="B39:C39"/>
    <mergeCell ref="B37:C37"/>
    <mergeCell ref="B32:C32"/>
    <mergeCell ref="B33:C33"/>
    <mergeCell ref="B34:C34"/>
    <mergeCell ref="B35:C35"/>
    <mergeCell ref="B44:C44"/>
    <mergeCell ref="B43:C43"/>
    <mergeCell ref="B1:C1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A2:C2"/>
    <mergeCell ref="B20:C20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0"/>
  <sheetViews>
    <sheetView topLeftCell="A28" workbookViewId="0">
      <selection activeCell="D35" sqref="D35:D38"/>
    </sheetView>
  </sheetViews>
  <sheetFormatPr defaultColWidth="8.88671875" defaultRowHeight="13.8"/>
  <cols>
    <col min="1" max="1" width="10.5546875" style="10" customWidth="1"/>
    <col min="2" max="2" width="40.5546875" style="10" customWidth="1"/>
    <col min="3" max="3" width="15.109375" style="10" customWidth="1"/>
    <col min="4" max="4" width="14.6640625" style="10" customWidth="1"/>
    <col min="5" max="5" width="8.88671875" style="10" customWidth="1"/>
    <col min="6" max="16384" width="8.88671875" style="10"/>
  </cols>
  <sheetData>
    <row r="1" spans="1:5" ht="70.2" customHeight="1">
      <c r="C1" s="1248" t="s">
        <v>459</v>
      </c>
      <c r="D1" s="1248"/>
      <c r="E1" s="77"/>
    </row>
    <row r="4" spans="1:5" ht="34.950000000000003" customHeight="1">
      <c r="A4" s="1303" t="s">
        <v>490</v>
      </c>
      <c r="B4" s="1303"/>
      <c r="C4" s="1303"/>
      <c r="D4" s="1303"/>
    </row>
    <row r="5" spans="1:5" ht="16.95" customHeight="1"/>
    <row r="6" spans="1:5" hidden="1"/>
    <row r="7" spans="1:5" hidden="1"/>
    <row r="8" spans="1:5" hidden="1"/>
    <row r="9" spans="1:5" hidden="1"/>
    <row r="10" spans="1:5" hidden="1"/>
    <row r="11" spans="1:5" hidden="1"/>
    <row r="12" spans="1:5" hidden="1"/>
    <row r="13" spans="1:5" hidden="1"/>
    <row r="14" spans="1:5" hidden="1"/>
    <row r="15" spans="1:5" hidden="1"/>
    <row r="16" spans="1:5" hidden="1"/>
    <row r="17" spans="1:4" hidden="1"/>
    <row r="18" spans="1:4" hidden="1"/>
    <row r="19" spans="1:4" hidden="1"/>
    <row r="20" spans="1:4" hidden="1"/>
    <row r="21" spans="1:4" hidden="1"/>
    <row r="22" spans="1:4" ht="24.6" customHeight="1">
      <c r="A22" s="76" t="s">
        <v>0</v>
      </c>
      <c r="B22" s="76" t="s">
        <v>184</v>
      </c>
      <c r="C22" s="907" t="s">
        <v>185</v>
      </c>
      <c r="D22" s="907"/>
    </row>
    <row r="23" spans="1:4" ht="27" customHeight="1">
      <c r="A23" s="218">
        <v>1</v>
      </c>
      <c r="B23" s="41" t="s">
        <v>183</v>
      </c>
      <c r="C23" s="207">
        <v>2018</v>
      </c>
      <c r="D23" s="1309" t="s">
        <v>458</v>
      </c>
    </row>
    <row r="24" spans="1:4" ht="27" customHeight="1">
      <c r="A24" s="218">
        <v>2</v>
      </c>
      <c r="B24" s="41" t="s">
        <v>186</v>
      </c>
      <c r="C24" s="218">
        <v>2019</v>
      </c>
      <c r="D24" s="1310"/>
    </row>
    <row r="25" spans="1:4" ht="27" customHeight="1">
      <c r="A25" s="218">
        <v>3</v>
      </c>
      <c r="B25" s="41" t="s">
        <v>187</v>
      </c>
      <c r="C25" s="218">
        <v>2020</v>
      </c>
      <c r="D25" s="1310"/>
    </row>
    <row r="26" spans="1:4" ht="27" customHeight="1">
      <c r="A26" s="218">
        <v>4</v>
      </c>
      <c r="B26" s="87" t="s">
        <v>188</v>
      </c>
      <c r="C26" s="218">
        <v>2021</v>
      </c>
      <c r="D26" s="1310"/>
    </row>
    <row r="27" spans="1:4" ht="27" customHeight="1">
      <c r="A27" s="218">
        <v>5</v>
      </c>
      <c r="B27" s="584" t="s">
        <v>189</v>
      </c>
      <c r="C27" s="218">
        <v>2022</v>
      </c>
      <c r="D27" s="1311"/>
    </row>
    <row r="28" spans="1:4" ht="39.6">
      <c r="A28" s="218">
        <v>6</v>
      </c>
      <c r="B28" s="41" t="s">
        <v>457</v>
      </c>
      <c r="C28" s="218">
        <v>2020</v>
      </c>
      <c r="D28" s="208" t="s">
        <v>432</v>
      </c>
    </row>
    <row r="29" spans="1:4" ht="52.8">
      <c r="A29" s="253">
        <v>7</v>
      </c>
      <c r="B29" s="41" t="s">
        <v>659</v>
      </c>
      <c r="C29" s="253">
        <v>2021</v>
      </c>
      <c r="D29" s="208" t="s">
        <v>889</v>
      </c>
    </row>
    <row r="30" spans="1:4" ht="30" customHeight="1">
      <c r="A30" s="350">
        <v>8</v>
      </c>
      <c r="B30" s="41" t="s">
        <v>885</v>
      </c>
      <c r="C30" s="350">
        <v>2021</v>
      </c>
      <c r="D30" s="853" t="s">
        <v>888</v>
      </c>
    </row>
    <row r="31" spans="1:4" ht="30" customHeight="1">
      <c r="A31" s="350">
        <v>9</v>
      </c>
      <c r="B31" s="41" t="s">
        <v>886</v>
      </c>
      <c r="C31" s="350">
        <v>2021</v>
      </c>
      <c r="D31" s="854"/>
    </row>
    <row r="32" spans="1:4" ht="30" customHeight="1">
      <c r="A32" s="350">
        <v>10</v>
      </c>
      <c r="B32" s="41" t="s">
        <v>887</v>
      </c>
      <c r="C32" s="350">
        <v>2021</v>
      </c>
      <c r="D32" s="852"/>
    </row>
    <row r="33" spans="1:4" ht="30" customHeight="1">
      <c r="A33" s="440">
        <v>11</v>
      </c>
      <c r="B33" s="41" t="s">
        <v>988</v>
      </c>
      <c r="C33" s="440">
        <v>2022</v>
      </c>
      <c r="D33" s="853" t="s">
        <v>987</v>
      </c>
    </row>
    <row r="34" spans="1:4" ht="30" customHeight="1">
      <c r="A34" s="440">
        <v>12</v>
      </c>
      <c r="B34" s="41" t="s">
        <v>989</v>
      </c>
      <c r="C34" s="440">
        <v>2022</v>
      </c>
      <c r="D34" s="854"/>
    </row>
    <row r="35" spans="1:4" ht="28.95" customHeight="1">
      <c r="A35" s="440">
        <v>13</v>
      </c>
      <c r="B35" s="41" t="s">
        <v>990</v>
      </c>
      <c r="C35" s="446">
        <v>2023</v>
      </c>
      <c r="D35" s="841" t="s">
        <v>1105</v>
      </c>
    </row>
    <row r="36" spans="1:4" ht="28.95" customHeight="1">
      <c r="A36" s="446">
        <v>14</v>
      </c>
      <c r="B36" s="41" t="s">
        <v>1010</v>
      </c>
      <c r="C36" s="583">
        <v>2023</v>
      </c>
      <c r="D36" s="841"/>
    </row>
    <row r="37" spans="1:4" ht="28.95" customHeight="1">
      <c r="A37" s="446">
        <v>15</v>
      </c>
      <c r="B37" s="41" t="s">
        <v>1011</v>
      </c>
      <c r="C37" s="583">
        <v>2023</v>
      </c>
      <c r="D37" s="841"/>
    </row>
    <row r="38" spans="1:4" ht="28.95" customHeight="1">
      <c r="A38" s="446">
        <v>16</v>
      </c>
      <c r="B38" s="41" t="s">
        <v>1012</v>
      </c>
      <c r="C38" s="583">
        <v>2023</v>
      </c>
      <c r="D38" s="841"/>
    </row>
    <row r="39" spans="1:4">
      <c r="B39" s="447"/>
    </row>
    <row r="40" spans="1:4" ht="51" customHeight="1">
      <c r="A40" s="448"/>
      <c r="B40" s="1308"/>
      <c r="C40" s="1308"/>
      <c r="D40" s="1308"/>
    </row>
  </sheetData>
  <mergeCells count="8">
    <mergeCell ref="B40:D40"/>
    <mergeCell ref="C1:D1"/>
    <mergeCell ref="D23:D27"/>
    <mergeCell ref="C22:D22"/>
    <mergeCell ref="A4:D4"/>
    <mergeCell ref="D30:D32"/>
    <mergeCell ref="D33:D34"/>
    <mergeCell ref="D35:D38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F28" sqref="F28"/>
    </sheetView>
  </sheetViews>
  <sheetFormatPr defaultColWidth="8.88671875" defaultRowHeight="13.8"/>
  <cols>
    <col min="1" max="1" width="10.5546875" style="10" customWidth="1"/>
    <col min="2" max="2" width="40.5546875" style="10" customWidth="1"/>
    <col min="3" max="3" width="29.5546875" style="10" customWidth="1"/>
    <col min="4" max="4" width="8.88671875" style="10"/>
    <col min="5" max="5" width="8.88671875" style="10" customWidth="1"/>
    <col min="6" max="16384" width="8.88671875" style="10"/>
  </cols>
  <sheetData>
    <row r="1" spans="1:5" ht="70.2" customHeight="1">
      <c r="C1" s="223" t="s">
        <v>463</v>
      </c>
      <c r="D1" s="45"/>
      <c r="E1" s="45"/>
    </row>
    <row r="4" spans="1:5" ht="27" customHeight="1">
      <c r="A4" s="1303" t="s">
        <v>125</v>
      </c>
      <c r="B4" s="1303"/>
      <c r="C4" s="1303"/>
    </row>
    <row r="5" spans="1:5" ht="16.95" customHeight="1"/>
    <row r="6" spans="1:5" hidden="1"/>
    <row r="7" spans="1:5" hidden="1"/>
    <row r="8" spans="1:5" hidden="1"/>
    <row r="9" spans="1:5" hidden="1"/>
    <row r="10" spans="1:5" hidden="1"/>
    <row r="11" spans="1:5" hidden="1"/>
    <row r="12" spans="1:5" hidden="1"/>
    <row r="13" spans="1:5" hidden="1"/>
    <row r="14" spans="1:5" hidden="1"/>
    <row r="15" spans="1:5" hidden="1"/>
    <row r="16" spans="1:5" hidden="1"/>
    <row r="17" spans="1:3" hidden="1"/>
    <row r="18" spans="1:3" hidden="1"/>
    <row r="19" spans="1:3" hidden="1"/>
    <row r="20" spans="1:3" hidden="1"/>
    <row r="21" spans="1:3" hidden="1"/>
    <row r="22" spans="1:3" ht="27.6">
      <c r="A22" s="228" t="s">
        <v>0</v>
      </c>
      <c r="B22" s="228" t="s">
        <v>117</v>
      </c>
      <c r="C22" s="230" t="s">
        <v>120</v>
      </c>
    </row>
    <row r="23" spans="1:3" ht="30" customHeight="1">
      <c r="A23" s="228">
        <v>1</v>
      </c>
      <c r="B23" s="41" t="s">
        <v>119</v>
      </c>
      <c r="C23" s="230">
        <v>2018</v>
      </c>
    </row>
    <row r="24" spans="1:3" ht="30" customHeight="1">
      <c r="A24" s="228">
        <v>2</v>
      </c>
      <c r="B24" s="41" t="s">
        <v>124</v>
      </c>
      <c r="C24" s="228">
        <v>2019</v>
      </c>
    </row>
    <row r="25" spans="1:3" ht="30" customHeight="1">
      <c r="A25" s="228">
        <v>3</v>
      </c>
      <c r="B25" s="52" t="s">
        <v>436</v>
      </c>
      <c r="C25" s="228">
        <v>2019</v>
      </c>
    </row>
    <row r="26" spans="1:3" ht="43.2" customHeight="1">
      <c r="A26" s="776">
        <v>4</v>
      </c>
      <c r="B26" s="41" t="s">
        <v>118</v>
      </c>
      <c r="C26" s="1292">
        <v>2020</v>
      </c>
    </row>
    <row r="27" spans="1:3" ht="30" customHeight="1">
      <c r="A27" s="776">
        <v>5</v>
      </c>
      <c r="B27" s="785" t="s">
        <v>130</v>
      </c>
      <c r="C27" s="1293"/>
    </row>
    <row r="28" spans="1:3" ht="30" customHeight="1">
      <c r="A28" s="776">
        <v>6</v>
      </c>
      <c r="B28" s="785" t="s">
        <v>129</v>
      </c>
      <c r="C28" s="1293"/>
    </row>
    <row r="29" spans="1:3" ht="19.95" customHeight="1">
      <c r="A29" s="776">
        <v>7</v>
      </c>
      <c r="B29" s="785" t="s">
        <v>633</v>
      </c>
      <c r="C29" s="1293"/>
    </row>
    <row r="30" spans="1:3" ht="19.95" customHeight="1">
      <c r="A30" s="776">
        <v>8</v>
      </c>
      <c r="B30" s="785" t="s">
        <v>634</v>
      </c>
      <c r="C30" s="1293"/>
    </row>
    <row r="31" spans="1:3" ht="41.4">
      <c r="A31" s="776">
        <v>9</v>
      </c>
      <c r="B31" s="41" t="s">
        <v>635</v>
      </c>
      <c r="C31" s="1294"/>
    </row>
  </sheetData>
  <mergeCells count="2">
    <mergeCell ref="A4:C4"/>
    <mergeCell ref="C26:C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2"/>
  <sheetViews>
    <sheetView topLeftCell="A7" workbookViewId="0">
      <selection activeCell="I7" sqref="I7"/>
    </sheetView>
  </sheetViews>
  <sheetFormatPr defaultColWidth="8.88671875" defaultRowHeight="13.8"/>
  <cols>
    <col min="1" max="1" width="6" style="10" customWidth="1"/>
    <col min="2" max="3" width="23.33203125" style="10" customWidth="1"/>
    <col min="4" max="4" width="25.109375" style="10" customWidth="1"/>
    <col min="5" max="5" width="13" style="10" customWidth="1"/>
    <col min="6" max="16384" width="8.88671875" style="10"/>
  </cols>
  <sheetData>
    <row r="1" spans="1:7" ht="63.6" customHeight="1">
      <c r="D1" s="1248" t="s">
        <v>464</v>
      </c>
      <c r="E1" s="1248"/>
    </row>
    <row r="3" spans="1:7" ht="76.2" customHeight="1">
      <c r="A3" s="1303" t="s">
        <v>127</v>
      </c>
      <c r="B3" s="1303"/>
      <c r="C3" s="1303"/>
      <c r="D3" s="1303"/>
      <c r="E3" s="1303"/>
    </row>
    <row r="6" spans="1:7" ht="24">
      <c r="A6" s="330" t="s">
        <v>0</v>
      </c>
      <c r="B6" s="54" t="s">
        <v>121</v>
      </c>
      <c r="C6" s="54" t="s">
        <v>122</v>
      </c>
      <c r="D6" s="54" t="s">
        <v>123</v>
      </c>
      <c r="E6" s="219" t="s">
        <v>465</v>
      </c>
    </row>
    <row r="7" spans="1:7" ht="141.6" customHeight="1">
      <c r="A7" s="53">
        <v>1</v>
      </c>
      <c r="B7" s="58" t="s">
        <v>363</v>
      </c>
      <c r="C7" s="134" t="s">
        <v>362</v>
      </c>
      <c r="D7" s="58" t="s">
        <v>766</v>
      </c>
      <c r="E7" s="221">
        <v>2018</v>
      </c>
      <c r="G7" s="224"/>
    </row>
    <row r="8" spans="1:7" ht="69">
      <c r="A8" s="232">
        <v>2</v>
      </c>
      <c r="B8" s="234" t="s">
        <v>610</v>
      </c>
      <c r="C8" s="233" t="s">
        <v>611</v>
      </c>
      <c r="D8" s="233" t="s">
        <v>612</v>
      </c>
      <c r="E8" s="232" t="s">
        <v>613</v>
      </c>
      <c r="G8" s="224"/>
    </row>
    <row r="9" spans="1:7" ht="41.4">
      <c r="A9" s="325">
        <v>3</v>
      </c>
      <c r="B9" s="87" t="s">
        <v>757</v>
      </c>
      <c r="C9" s="41" t="s">
        <v>763</v>
      </c>
      <c r="D9" s="326" t="s">
        <v>758</v>
      </c>
      <c r="E9" s="325">
        <v>2020</v>
      </c>
    </row>
    <row r="10" spans="1:7" ht="55.2">
      <c r="A10" s="327">
        <v>4</v>
      </c>
      <c r="B10" s="41" t="s">
        <v>772</v>
      </c>
      <c r="C10" s="41" t="s">
        <v>775</v>
      </c>
      <c r="D10" s="328" t="s">
        <v>773</v>
      </c>
      <c r="E10" s="327" t="s">
        <v>774</v>
      </c>
    </row>
    <row r="11" spans="1:7" ht="41.4">
      <c r="A11" s="325">
        <v>5</v>
      </c>
      <c r="B11" s="41" t="s">
        <v>761</v>
      </c>
      <c r="C11" s="41" t="s">
        <v>762</v>
      </c>
      <c r="D11" s="326" t="s">
        <v>765</v>
      </c>
      <c r="E11" s="325">
        <v>2021</v>
      </c>
    </row>
    <row r="12" spans="1:7" ht="36" customHeight="1">
      <c r="A12" s="325">
        <v>6</v>
      </c>
      <c r="B12" s="41" t="s">
        <v>759</v>
      </c>
      <c r="C12" s="41" t="s">
        <v>760</v>
      </c>
      <c r="D12" s="326" t="s">
        <v>764</v>
      </c>
      <c r="E12" s="325">
        <v>2022</v>
      </c>
    </row>
  </sheetData>
  <mergeCells count="2">
    <mergeCell ref="D1:E1"/>
    <mergeCell ref="A3:E3"/>
  </mergeCells>
  <pageMargins left="0.78740157480314965" right="0.39370078740157483" top="0.74803149606299213" bottom="0.74803149606299213" header="0.31496062992125984" footer="0.31496062992125984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7" sqref="L37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3"/>
  <sheetViews>
    <sheetView zoomScale="80" zoomScaleNormal="80" workbookViewId="0">
      <selection activeCell="B42" sqref="B42:B45"/>
    </sheetView>
  </sheetViews>
  <sheetFormatPr defaultColWidth="8.88671875" defaultRowHeight="13.8"/>
  <cols>
    <col min="1" max="1" width="4.6640625" style="10" customWidth="1"/>
    <col min="2" max="2" width="61.33203125" style="10" customWidth="1"/>
    <col min="3" max="3" width="9.6640625" style="10" customWidth="1"/>
    <col min="4" max="4" width="9.5546875" style="10" customWidth="1"/>
    <col min="5" max="5" width="10.33203125" style="10" customWidth="1"/>
    <col min="6" max="6" width="21.33203125" style="10" customWidth="1"/>
    <col min="7" max="7" width="24.33203125" style="10" customWidth="1"/>
    <col min="8" max="8" width="31.88671875" style="10" customWidth="1"/>
    <col min="9" max="9" width="15.33203125" style="135" customWidth="1"/>
    <col min="10" max="10" width="16.33203125" style="10" bestFit="1" customWidth="1"/>
    <col min="11" max="16384" width="8.88671875" style="10"/>
  </cols>
  <sheetData>
    <row r="1" spans="1:11" ht="40.950000000000003" customHeight="1">
      <c r="B1" s="869"/>
      <c r="C1" s="869"/>
      <c r="D1" s="869"/>
      <c r="E1" s="869"/>
      <c r="F1" s="7"/>
      <c r="G1" s="873" t="s">
        <v>467</v>
      </c>
      <c r="H1" s="873"/>
      <c r="I1" s="158"/>
      <c r="J1" s="6"/>
      <c r="K1" s="6"/>
    </row>
    <row r="2" spans="1:11" ht="18" customHeight="1">
      <c r="A2" s="838" t="s">
        <v>179</v>
      </c>
      <c r="B2" s="838"/>
      <c r="C2" s="838"/>
      <c r="D2" s="838"/>
      <c r="E2" s="838"/>
      <c r="F2" s="838"/>
      <c r="G2" s="838"/>
      <c r="H2" s="838"/>
    </row>
    <row r="3" spans="1:11" ht="12.6" customHeight="1">
      <c r="A3" s="75"/>
      <c r="B3" s="75"/>
      <c r="C3" s="75"/>
      <c r="D3" s="75"/>
      <c r="E3" s="75"/>
      <c r="F3" s="75"/>
      <c r="G3" s="75"/>
      <c r="H3" s="8" t="s">
        <v>22</v>
      </c>
    </row>
    <row r="4" spans="1:11" ht="17.399999999999999" customHeight="1">
      <c r="A4" s="870" t="s">
        <v>0</v>
      </c>
      <c r="B4" s="841" t="s">
        <v>6</v>
      </c>
      <c r="C4" s="841" t="s">
        <v>17</v>
      </c>
      <c r="D4" s="841"/>
      <c r="E4" s="841" t="s">
        <v>8</v>
      </c>
      <c r="F4" s="841" t="s">
        <v>19</v>
      </c>
      <c r="G4" s="871" t="s">
        <v>180</v>
      </c>
      <c r="H4" s="841" t="s">
        <v>23</v>
      </c>
    </row>
    <row r="5" spans="1:11" ht="19.95" customHeight="1">
      <c r="A5" s="870"/>
      <c r="B5" s="841"/>
      <c r="C5" s="74" t="s">
        <v>7</v>
      </c>
      <c r="D5" s="74" t="s">
        <v>18</v>
      </c>
      <c r="E5" s="841"/>
      <c r="F5" s="841"/>
      <c r="G5" s="872"/>
      <c r="H5" s="841"/>
    </row>
    <row r="6" spans="1:11" ht="15" customHeight="1">
      <c r="A6" s="858"/>
      <c r="B6" s="859" t="s">
        <v>128</v>
      </c>
      <c r="C6" s="850" t="s">
        <v>9</v>
      </c>
      <c r="D6" s="850" t="s">
        <v>9</v>
      </c>
      <c r="E6" s="850" t="s">
        <v>9</v>
      </c>
      <c r="F6" s="37" t="s">
        <v>20</v>
      </c>
      <c r="G6" s="4">
        <f>G10+G54</f>
        <v>16024.676430000001</v>
      </c>
      <c r="H6" s="860" t="s">
        <v>9</v>
      </c>
    </row>
    <row r="7" spans="1:11" ht="15" customHeight="1">
      <c r="A7" s="858"/>
      <c r="B7" s="859"/>
      <c r="C7" s="850"/>
      <c r="D7" s="850"/>
      <c r="E7" s="850"/>
      <c r="F7" s="37" t="s">
        <v>24</v>
      </c>
      <c r="G7" s="4">
        <f>G11+G55</f>
        <v>12776.772700000001</v>
      </c>
      <c r="H7" s="861"/>
    </row>
    <row r="8" spans="1:11" ht="15" customHeight="1">
      <c r="A8" s="858"/>
      <c r="B8" s="849"/>
      <c r="C8" s="850"/>
      <c r="D8" s="850"/>
      <c r="E8" s="850"/>
      <c r="F8" s="37" t="s">
        <v>10</v>
      </c>
      <c r="G8" s="4">
        <f>G12+G56</f>
        <v>2077.69472</v>
      </c>
      <c r="H8" s="861"/>
    </row>
    <row r="9" spans="1:11" ht="15" customHeight="1">
      <c r="A9" s="858"/>
      <c r="B9" s="849"/>
      <c r="C9" s="850"/>
      <c r="D9" s="850"/>
      <c r="E9" s="850"/>
      <c r="F9" s="37" t="s">
        <v>11</v>
      </c>
      <c r="G9" s="4">
        <f>G13+G57</f>
        <v>1170.20901</v>
      </c>
      <c r="H9" s="862"/>
    </row>
    <row r="10" spans="1:11" ht="19.2" customHeight="1">
      <c r="A10" s="863" t="s">
        <v>3</v>
      </c>
      <c r="B10" s="859" t="s">
        <v>210</v>
      </c>
      <c r="C10" s="850" t="s">
        <v>9</v>
      </c>
      <c r="D10" s="864" t="s">
        <v>9</v>
      </c>
      <c r="E10" s="850" t="s">
        <v>81</v>
      </c>
      <c r="F10" s="37" t="s">
        <v>20</v>
      </c>
      <c r="G10" s="2">
        <f>G14+G42</f>
        <v>13347.428870000002</v>
      </c>
      <c r="H10" s="855" t="s">
        <v>9</v>
      </c>
    </row>
    <row r="11" spans="1:11" ht="19.2" customHeight="1">
      <c r="A11" s="863"/>
      <c r="B11" s="859"/>
      <c r="C11" s="850"/>
      <c r="D11" s="865"/>
      <c r="E11" s="850"/>
      <c r="F11" s="38" t="s">
        <v>24</v>
      </c>
      <c r="G11" s="5">
        <f>G15+G43</f>
        <v>11799.575700000001</v>
      </c>
      <c r="H11" s="856"/>
    </row>
    <row r="12" spans="1:11" ht="19.2" customHeight="1">
      <c r="A12" s="863"/>
      <c r="B12" s="859"/>
      <c r="C12" s="850"/>
      <c r="D12" s="865"/>
      <c r="E12" s="850"/>
      <c r="F12" s="38" t="s">
        <v>10</v>
      </c>
      <c r="G12" s="5">
        <f>G16+G44</f>
        <v>621.03030000000001</v>
      </c>
      <c r="H12" s="856"/>
    </row>
    <row r="13" spans="1:11" ht="19.2" customHeight="1">
      <c r="A13" s="863"/>
      <c r="B13" s="859"/>
      <c r="C13" s="850"/>
      <c r="D13" s="866"/>
      <c r="E13" s="850"/>
      <c r="F13" s="38" t="s">
        <v>11</v>
      </c>
      <c r="G13" s="5">
        <f>G17+G45</f>
        <v>926.82287000000008</v>
      </c>
      <c r="H13" s="857"/>
      <c r="J13" s="17"/>
    </row>
    <row r="14" spans="1:11" ht="19.2" customHeight="1">
      <c r="A14" s="875" t="s">
        <v>25</v>
      </c>
      <c r="B14" s="876" t="s">
        <v>53</v>
      </c>
      <c r="C14" s="850" t="s">
        <v>27</v>
      </c>
      <c r="D14" s="874">
        <f>D18+D22+D26+D30</f>
        <v>2573.4</v>
      </c>
      <c r="E14" s="850" t="s">
        <v>81</v>
      </c>
      <c r="F14" s="37" t="s">
        <v>20</v>
      </c>
      <c r="G14" s="3">
        <f>G15+G16+G17</f>
        <v>9163.1461200000012</v>
      </c>
      <c r="H14" s="847" t="s">
        <v>84</v>
      </c>
      <c r="I14" s="162" t="s">
        <v>192</v>
      </c>
      <c r="J14" s="160"/>
    </row>
    <row r="15" spans="1:11" ht="19.2" customHeight="1">
      <c r="A15" s="875"/>
      <c r="B15" s="876"/>
      <c r="C15" s="850"/>
      <c r="D15" s="874"/>
      <c r="E15" s="850"/>
      <c r="F15" s="38" t="s">
        <v>24</v>
      </c>
      <c r="G15" s="19">
        <f>G19+G23+G27+G31+G35+G39</f>
        <v>7874.5475000000006</v>
      </c>
      <c r="H15" s="847"/>
      <c r="I15" s="160">
        <v>7070.0298300000004</v>
      </c>
      <c r="J15" s="161">
        <f>G19+G23+G27+G31</f>
        <v>7070.0298300000004</v>
      </c>
      <c r="K15" s="18"/>
    </row>
    <row r="16" spans="1:11" ht="19.2" customHeight="1">
      <c r="A16" s="875"/>
      <c r="B16" s="876"/>
      <c r="C16" s="850" t="s">
        <v>394</v>
      </c>
      <c r="D16" s="874">
        <f>D34+D38</f>
        <v>99</v>
      </c>
      <c r="E16" s="850"/>
      <c r="F16" s="39" t="s">
        <v>10</v>
      </c>
      <c r="G16" s="19">
        <f>G20+G24+G28+G32+G36+G40</f>
        <v>414.44986</v>
      </c>
      <c r="H16" s="847"/>
      <c r="I16" s="160">
        <v>372.10683</v>
      </c>
      <c r="J16" s="161">
        <f>G20+G24+G28+G32</f>
        <v>372.10683</v>
      </c>
      <c r="K16" s="18"/>
    </row>
    <row r="17" spans="1:11" ht="19.2" customHeight="1">
      <c r="A17" s="875"/>
      <c r="B17" s="876"/>
      <c r="C17" s="850"/>
      <c r="D17" s="874"/>
      <c r="E17" s="850"/>
      <c r="F17" s="39" t="s">
        <v>11</v>
      </c>
      <c r="G17" s="19">
        <f>G21+G25+G29+G33+G37+G41</f>
        <v>874.14876000000004</v>
      </c>
      <c r="H17" s="847"/>
      <c r="I17" s="160"/>
      <c r="J17" s="160"/>
    </row>
    <row r="18" spans="1:11" ht="19.2" customHeight="1">
      <c r="A18" s="867" t="s">
        <v>12</v>
      </c>
      <c r="B18" s="868" t="s">
        <v>389</v>
      </c>
      <c r="C18" s="850" t="s">
        <v>27</v>
      </c>
      <c r="D18" s="874">
        <v>747</v>
      </c>
      <c r="E18" s="850" t="s">
        <v>81</v>
      </c>
      <c r="F18" s="37" t="s">
        <v>20</v>
      </c>
      <c r="G18" s="3">
        <f>G19+G20+G21</f>
        <v>2466.7861199999998</v>
      </c>
      <c r="H18" s="847" t="s">
        <v>84</v>
      </c>
      <c r="I18" s="160"/>
      <c r="J18" s="160"/>
    </row>
    <row r="19" spans="1:11" ht="19.2" customHeight="1">
      <c r="A19" s="867"/>
      <c r="B19" s="868"/>
      <c r="C19" s="850"/>
      <c r="D19" s="874"/>
      <c r="E19" s="850"/>
      <c r="F19" s="38" t="s">
        <v>24</v>
      </c>
      <c r="G19" s="19">
        <v>2099.7988599999999</v>
      </c>
      <c r="H19" s="847"/>
      <c r="I19" s="163">
        <v>0.29699999999999999</v>
      </c>
      <c r="J19" s="160"/>
      <c r="K19" s="18"/>
    </row>
    <row r="20" spans="1:11" ht="19.2" customHeight="1">
      <c r="A20" s="867"/>
      <c r="B20" s="868"/>
      <c r="C20" s="850"/>
      <c r="D20" s="874"/>
      <c r="E20" s="850"/>
      <c r="F20" s="39" t="s">
        <v>10</v>
      </c>
      <c r="G20" s="19">
        <v>110.51573</v>
      </c>
      <c r="H20" s="847"/>
      <c r="I20" s="160"/>
      <c r="J20" s="160"/>
      <c r="K20" s="18"/>
    </row>
    <row r="21" spans="1:11" ht="19.2" customHeight="1">
      <c r="A21" s="867"/>
      <c r="B21" s="868"/>
      <c r="C21" s="850"/>
      <c r="D21" s="874"/>
      <c r="E21" s="850"/>
      <c r="F21" s="39" t="s">
        <v>11</v>
      </c>
      <c r="G21" s="5">
        <v>256.47152999999997</v>
      </c>
      <c r="H21" s="847"/>
      <c r="I21" s="160"/>
      <c r="J21" s="160"/>
    </row>
    <row r="22" spans="1:11" ht="19.2" customHeight="1">
      <c r="A22" s="867" t="s">
        <v>13</v>
      </c>
      <c r="B22" s="868" t="s">
        <v>388</v>
      </c>
      <c r="C22" s="850" t="s">
        <v>27</v>
      </c>
      <c r="D22" s="874">
        <v>375</v>
      </c>
      <c r="E22" s="850" t="s">
        <v>81</v>
      </c>
      <c r="F22" s="37" t="s">
        <v>20</v>
      </c>
      <c r="G22" s="3">
        <v>1534.501</v>
      </c>
      <c r="H22" s="847" t="s">
        <v>84</v>
      </c>
      <c r="I22" s="160"/>
      <c r="J22" s="160"/>
    </row>
    <row r="23" spans="1:11" ht="19.2" customHeight="1">
      <c r="A23" s="867"/>
      <c r="B23" s="868"/>
      <c r="C23" s="850"/>
      <c r="D23" s="874"/>
      <c r="E23" s="850"/>
      <c r="F23" s="38" t="s">
        <v>24</v>
      </c>
      <c r="G23" s="19">
        <v>1300.8854799999999</v>
      </c>
      <c r="H23" s="847"/>
      <c r="I23" s="163">
        <v>0.184</v>
      </c>
      <c r="J23" s="160"/>
      <c r="K23" s="18"/>
    </row>
    <row r="24" spans="1:11" ht="19.2" customHeight="1">
      <c r="A24" s="867"/>
      <c r="B24" s="868"/>
      <c r="C24" s="850"/>
      <c r="D24" s="874"/>
      <c r="E24" s="850"/>
      <c r="F24" s="39" t="s">
        <v>10</v>
      </c>
      <c r="G24" s="19">
        <v>68.467659999999995</v>
      </c>
      <c r="H24" s="847"/>
      <c r="I24" s="160"/>
      <c r="J24" s="160"/>
      <c r="K24" s="18"/>
    </row>
    <row r="25" spans="1:11" ht="19.2" customHeight="1">
      <c r="A25" s="867"/>
      <c r="B25" s="868"/>
      <c r="C25" s="850"/>
      <c r="D25" s="874"/>
      <c r="E25" s="850"/>
      <c r="F25" s="39" t="s">
        <v>11</v>
      </c>
      <c r="G25" s="5">
        <v>165.14786000000001</v>
      </c>
      <c r="H25" s="847"/>
      <c r="I25" s="160"/>
      <c r="J25" s="160"/>
    </row>
    <row r="26" spans="1:11" ht="19.2" customHeight="1">
      <c r="A26" s="867" t="s">
        <v>14</v>
      </c>
      <c r="B26" s="868" t="s">
        <v>387</v>
      </c>
      <c r="C26" s="850" t="s">
        <v>27</v>
      </c>
      <c r="D26" s="874">
        <v>618.5</v>
      </c>
      <c r="E26" s="850" t="s">
        <v>81</v>
      </c>
      <c r="F26" s="37" t="s">
        <v>20</v>
      </c>
      <c r="G26" s="3">
        <f>G27+G28+G29</f>
        <v>1937.9359999999999</v>
      </c>
      <c r="H26" s="847" t="s">
        <v>84</v>
      </c>
      <c r="I26" s="160"/>
      <c r="J26" s="160"/>
    </row>
    <row r="27" spans="1:11" ht="19.2" customHeight="1">
      <c r="A27" s="867"/>
      <c r="B27" s="868"/>
      <c r="C27" s="850"/>
      <c r="D27" s="874"/>
      <c r="E27" s="850"/>
      <c r="F27" s="38" t="s">
        <v>24</v>
      </c>
      <c r="G27" s="19">
        <v>1647.3169499999999</v>
      </c>
      <c r="H27" s="847"/>
      <c r="I27" s="163">
        <v>0.23300000000000001</v>
      </c>
      <c r="J27" s="160"/>
      <c r="K27" s="18"/>
    </row>
    <row r="28" spans="1:11" ht="19.2" customHeight="1">
      <c r="A28" s="867"/>
      <c r="B28" s="868"/>
      <c r="C28" s="850"/>
      <c r="D28" s="874"/>
      <c r="E28" s="850"/>
      <c r="F28" s="39" t="s">
        <v>10</v>
      </c>
      <c r="G28" s="19">
        <v>86.700890000000001</v>
      </c>
      <c r="H28" s="847"/>
      <c r="I28" s="160"/>
      <c r="J28" s="160"/>
      <c r="K28" s="18"/>
    </row>
    <row r="29" spans="1:11" ht="19.2" customHeight="1">
      <c r="A29" s="867"/>
      <c r="B29" s="868"/>
      <c r="C29" s="850"/>
      <c r="D29" s="874"/>
      <c r="E29" s="850"/>
      <c r="F29" s="39" t="s">
        <v>11</v>
      </c>
      <c r="G29" s="5">
        <v>203.91816</v>
      </c>
      <c r="H29" s="847"/>
      <c r="I29" s="160"/>
      <c r="J29" s="160"/>
    </row>
    <row r="30" spans="1:11" ht="19.2" customHeight="1">
      <c r="A30" s="867" t="s">
        <v>15</v>
      </c>
      <c r="B30" s="868" t="s">
        <v>386</v>
      </c>
      <c r="C30" s="850" t="s">
        <v>27</v>
      </c>
      <c r="D30" s="874">
        <v>832.9</v>
      </c>
      <c r="E30" s="850" t="s">
        <v>81</v>
      </c>
      <c r="F30" s="37" t="s">
        <v>20</v>
      </c>
      <c r="G30" s="3">
        <f>G31+G32+G33</f>
        <v>2372.828</v>
      </c>
      <c r="H30" s="847" t="s">
        <v>84</v>
      </c>
      <c r="I30" s="160"/>
      <c r="J30" s="160"/>
    </row>
    <row r="31" spans="1:11" ht="19.2" customHeight="1">
      <c r="A31" s="867"/>
      <c r="B31" s="868"/>
      <c r="C31" s="850"/>
      <c r="D31" s="874"/>
      <c r="E31" s="850"/>
      <c r="F31" s="38" t="s">
        <v>24</v>
      </c>
      <c r="G31" s="19">
        <v>2022.02854</v>
      </c>
      <c r="H31" s="847"/>
      <c r="I31" s="163">
        <v>0.28599999999999998</v>
      </c>
      <c r="J31" s="160"/>
      <c r="K31" s="18"/>
    </row>
    <row r="32" spans="1:11" ht="19.2" customHeight="1">
      <c r="A32" s="867"/>
      <c r="B32" s="868"/>
      <c r="C32" s="850"/>
      <c r="D32" s="874"/>
      <c r="E32" s="850"/>
      <c r="F32" s="39" t="s">
        <v>10</v>
      </c>
      <c r="G32" s="19">
        <v>106.42255</v>
      </c>
      <c r="H32" s="847"/>
      <c r="I32" s="160"/>
      <c r="J32" s="160"/>
      <c r="K32" s="18"/>
    </row>
    <row r="33" spans="1:11" ht="19.2" customHeight="1">
      <c r="A33" s="867"/>
      <c r="B33" s="868"/>
      <c r="C33" s="850"/>
      <c r="D33" s="874"/>
      <c r="E33" s="850"/>
      <c r="F33" s="39" t="s">
        <v>11</v>
      </c>
      <c r="G33" s="5">
        <v>244.37691000000001</v>
      </c>
      <c r="H33" s="847"/>
      <c r="I33" s="160"/>
      <c r="J33" s="161">
        <f>J34+J35+J36</f>
        <v>444.84206500000005</v>
      </c>
    </row>
    <row r="34" spans="1:11" ht="19.2" customHeight="1">
      <c r="A34" s="867" t="s">
        <v>397</v>
      </c>
      <c r="B34" s="868" t="s">
        <v>391</v>
      </c>
      <c r="C34" s="850" t="s">
        <v>38</v>
      </c>
      <c r="D34" s="874">
        <v>50</v>
      </c>
      <c r="E34" s="850" t="s">
        <v>81</v>
      </c>
      <c r="F34" s="37" t="s">
        <v>20</v>
      </c>
      <c r="G34" s="3">
        <v>449.62</v>
      </c>
      <c r="H34" s="847" t="s">
        <v>84</v>
      </c>
      <c r="I34" s="160"/>
      <c r="J34" s="164">
        <v>420.47489000000002</v>
      </c>
    </row>
    <row r="35" spans="1:11" ht="19.2" customHeight="1">
      <c r="A35" s="867"/>
      <c r="B35" s="868"/>
      <c r="C35" s="850"/>
      <c r="D35" s="874"/>
      <c r="E35" s="850"/>
      <c r="F35" s="38" t="s">
        <v>24</v>
      </c>
      <c r="G35" s="19">
        <v>425.01393000000002</v>
      </c>
      <c r="H35" s="847"/>
      <c r="I35" s="163"/>
      <c r="J35" s="164">
        <v>22.13026</v>
      </c>
      <c r="K35" s="18"/>
    </row>
    <row r="36" spans="1:11" ht="19.2" customHeight="1">
      <c r="A36" s="867"/>
      <c r="B36" s="868"/>
      <c r="C36" s="850"/>
      <c r="D36" s="874"/>
      <c r="E36" s="850"/>
      <c r="F36" s="39" t="s">
        <v>10</v>
      </c>
      <c r="G36" s="19">
        <v>22.369150000000001</v>
      </c>
      <c r="H36" s="847"/>
      <c r="I36" s="160"/>
      <c r="J36" s="160">
        <f>G36*10%</f>
        <v>2.2369150000000002</v>
      </c>
      <c r="K36" s="18"/>
    </row>
    <row r="37" spans="1:11" ht="19.2" customHeight="1">
      <c r="A37" s="867"/>
      <c r="B37" s="868"/>
      <c r="C37" s="850"/>
      <c r="D37" s="874"/>
      <c r="E37" s="850"/>
      <c r="F37" s="39" t="s">
        <v>11</v>
      </c>
      <c r="G37" s="5">
        <v>2.23692</v>
      </c>
      <c r="H37" s="847"/>
      <c r="I37" s="160"/>
      <c r="J37" s="160"/>
    </row>
    <row r="38" spans="1:11" ht="19.2" customHeight="1">
      <c r="A38" s="867" t="s">
        <v>398</v>
      </c>
      <c r="B38" s="868" t="s">
        <v>392</v>
      </c>
      <c r="C38" s="850" t="s">
        <v>38</v>
      </c>
      <c r="D38" s="874">
        <v>49</v>
      </c>
      <c r="E38" s="850" t="s">
        <v>81</v>
      </c>
      <c r="F38" s="37" t="s">
        <v>20</v>
      </c>
      <c r="G38" s="3">
        <v>401.47500000000002</v>
      </c>
      <c r="H38" s="847" t="s">
        <v>84</v>
      </c>
      <c r="I38" s="160"/>
      <c r="J38" s="161">
        <f>J39+J40+J41</f>
        <v>397.65957800000001</v>
      </c>
    </row>
    <row r="39" spans="1:11" ht="19.2" customHeight="1">
      <c r="A39" s="867"/>
      <c r="B39" s="868"/>
      <c r="C39" s="850"/>
      <c r="D39" s="874"/>
      <c r="E39" s="850"/>
      <c r="F39" s="38" t="s">
        <v>24</v>
      </c>
      <c r="G39" s="19">
        <v>379.50373999999999</v>
      </c>
      <c r="H39" s="847"/>
      <c r="I39" s="163"/>
      <c r="J39" s="164">
        <v>375.87907999999999</v>
      </c>
      <c r="K39" s="18"/>
    </row>
    <row r="40" spans="1:11" ht="19.2" customHeight="1">
      <c r="A40" s="867"/>
      <c r="B40" s="868"/>
      <c r="C40" s="850"/>
      <c r="D40" s="874"/>
      <c r="E40" s="850"/>
      <c r="F40" s="39" t="s">
        <v>10</v>
      </c>
      <c r="G40" s="19">
        <v>19.973880000000001</v>
      </c>
      <c r="H40" s="847"/>
      <c r="I40" s="161">
        <f>G35+G39</f>
        <v>804.51766999999995</v>
      </c>
      <c r="J40" s="164">
        <v>19.783110000000001</v>
      </c>
      <c r="K40" s="18"/>
    </row>
    <row r="41" spans="1:11" ht="19.2" customHeight="1">
      <c r="A41" s="867"/>
      <c r="B41" s="868"/>
      <c r="C41" s="850"/>
      <c r="D41" s="874"/>
      <c r="E41" s="850"/>
      <c r="F41" s="39" t="s">
        <v>11</v>
      </c>
      <c r="G41" s="5">
        <v>1.9973799999999999</v>
      </c>
      <c r="H41" s="847"/>
      <c r="I41" s="161">
        <f>G36+G40</f>
        <v>42.343029999999999</v>
      </c>
      <c r="J41" s="160">
        <f>G40*10%</f>
        <v>1.9973880000000002</v>
      </c>
    </row>
    <row r="42" spans="1:11" ht="19.2" customHeight="1">
      <c r="A42" s="875" t="s">
        <v>45</v>
      </c>
      <c r="B42" s="877" t="s">
        <v>364</v>
      </c>
      <c r="C42" s="850" t="s">
        <v>27</v>
      </c>
      <c r="D42" s="879">
        <f>D46</f>
        <v>1396</v>
      </c>
      <c r="E42" s="850" t="s">
        <v>81</v>
      </c>
      <c r="F42" s="37" t="s">
        <v>20</v>
      </c>
      <c r="G42" s="3">
        <f>G43+G44+G45</f>
        <v>4184.2827500000003</v>
      </c>
      <c r="H42" s="847" t="s">
        <v>84</v>
      </c>
      <c r="I42" s="160"/>
      <c r="J42" s="161"/>
    </row>
    <row r="43" spans="1:11" ht="19.2" customHeight="1">
      <c r="A43" s="875"/>
      <c r="B43" s="877"/>
      <c r="C43" s="850"/>
      <c r="D43" s="879"/>
      <c r="E43" s="850"/>
      <c r="F43" s="38" t="s">
        <v>24</v>
      </c>
      <c r="G43" s="19">
        <f>G47+G51</f>
        <v>3925.0282000000002</v>
      </c>
      <c r="H43" s="847"/>
      <c r="I43" s="160"/>
      <c r="J43" s="160"/>
    </row>
    <row r="44" spans="1:11" ht="19.2" customHeight="1">
      <c r="A44" s="875"/>
      <c r="B44" s="877"/>
      <c r="C44" s="850"/>
      <c r="D44" s="879"/>
      <c r="E44" s="850"/>
      <c r="F44" s="39" t="s">
        <v>10</v>
      </c>
      <c r="G44" s="19">
        <f>G48+G52</f>
        <v>206.58043999999998</v>
      </c>
      <c r="H44" s="847"/>
      <c r="I44" s="160"/>
      <c r="J44" s="160"/>
    </row>
    <row r="45" spans="1:11" ht="19.2" customHeight="1">
      <c r="A45" s="875"/>
      <c r="B45" s="877"/>
      <c r="C45" s="850"/>
      <c r="D45" s="879"/>
      <c r="E45" s="850"/>
      <c r="F45" s="39" t="s">
        <v>11</v>
      </c>
      <c r="G45" s="19">
        <f>G49+G53</f>
        <v>52.674109999999999</v>
      </c>
      <c r="H45" s="847"/>
      <c r="I45" s="160"/>
      <c r="J45" s="160"/>
    </row>
    <row r="46" spans="1:11" ht="19.2" customHeight="1">
      <c r="A46" s="867" t="s">
        <v>16</v>
      </c>
      <c r="B46" s="878" t="s">
        <v>365</v>
      </c>
      <c r="C46" s="850" t="s">
        <v>27</v>
      </c>
      <c r="D46" s="879">
        <v>1396</v>
      </c>
      <c r="E46" s="850" t="s">
        <v>81</v>
      </c>
      <c r="F46" s="37" t="s">
        <v>20</v>
      </c>
      <c r="G46" s="3">
        <f>G47+G48+G49</f>
        <v>3739.6747399999999</v>
      </c>
      <c r="H46" s="847" t="s">
        <v>84</v>
      </c>
      <c r="I46" s="160"/>
      <c r="J46" s="161"/>
    </row>
    <row r="47" spans="1:11" ht="19.2" customHeight="1">
      <c r="A47" s="867"/>
      <c r="B47" s="878"/>
      <c r="C47" s="850"/>
      <c r="D47" s="879"/>
      <c r="E47" s="850"/>
      <c r="F47" s="38" t="s">
        <v>24</v>
      </c>
      <c r="G47" s="19">
        <v>3504.7519600000001</v>
      </c>
      <c r="H47" s="847"/>
      <c r="I47" s="160"/>
      <c r="J47" s="160"/>
    </row>
    <row r="48" spans="1:11" ht="19.2" customHeight="1">
      <c r="A48" s="867"/>
      <c r="B48" s="878"/>
      <c r="C48" s="850"/>
      <c r="D48" s="879"/>
      <c r="E48" s="850"/>
      <c r="F48" s="39" t="s">
        <v>10</v>
      </c>
      <c r="G48" s="19">
        <v>184.46064999999999</v>
      </c>
      <c r="H48" s="847"/>
    </row>
    <row r="49" spans="1:10" ht="19.2" customHeight="1">
      <c r="A49" s="867"/>
      <c r="B49" s="878"/>
      <c r="C49" s="850"/>
      <c r="D49" s="879"/>
      <c r="E49" s="850"/>
      <c r="F49" s="39" t="s">
        <v>11</v>
      </c>
      <c r="G49" s="5">
        <v>50.462130000000002</v>
      </c>
      <c r="H49" s="847"/>
    </row>
    <row r="50" spans="1:10" ht="19.2" customHeight="1">
      <c r="A50" s="867" t="s">
        <v>400</v>
      </c>
      <c r="B50" s="878" t="s">
        <v>422</v>
      </c>
      <c r="C50" s="850" t="s">
        <v>43</v>
      </c>
      <c r="D50" s="880">
        <v>11</v>
      </c>
      <c r="E50" s="850" t="s">
        <v>81</v>
      </c>
      <c r="F50" s="37" t="s">
        <v>20</v>
      </c>
      <c r="G50" s="3">
        <f>G51+G52+G53</f>
        <v>444.60800999999998</v>
      </c>
      <c r="H50" s="847" t="s">
        <v>112</v>
      </c>
      <c r="I50" s="192"/>
    </row>
    <row r="51" spans="1:10" ht="19.2" customHeight="1">
      <c r="A51" s="867"/>
      <c r="B51" s="878"/>
      <c r="C51" s="850"/>
      <c r="D51" s="880"/>
      <c r="E51" s="850"/>
      <c r="F51" s="38" t="s">
        <v>24</v>
      </c>
      <c r="G51" s="19">
        <v>420.27623999999997</v>
      </c>
      <c r="H51" s="847"/>
      <c r="J51" s="18"/>
    </row>
    <row r="52" spans="1:10" ht="19.2" customHeight="1">
      <c r="A52" s="867"/>
      <c r="B52" s="878"/>
      <c r="C52" s="850"/>
      <c r="D52" s="880"/>
      <c r="E52" s="850"/>
      <c r="F52" s="39" t="s">
        <v>10</v>
      </c>
      <c r="G52" s="19">
        <v>22.119789999999998</v>
      </c>
      <c r="H52" s="847"/>
      <c r="J52" s="18"/>
    </row>
    <row r="53" spans="1:10" ht="19.2" customHeight="1">
      <c r="A53" s="867"/>
      <c r="B53" s="878"/>
      <c r="C53" s="850"/>
      <c r="D53" s="880"/>
      <c r="E53" s="850"/>
      <c r="F53" s="39" t="s">
        <v>11</v>
      </c>
      <c r="G53" s="5">
        <v>2.2119800000000001</v>
      </c>
      <c r="H53" s="847"/>
      <c r="I53" s="192"/>
      <c r="J53" s="18"/>
    </row>
    <row r="54" spans="1:10" ht="23.4" customHeight="1">
      <c r="A54" s="863" t="s">
        <v>48</v>
      </c>
      <c r="B54" s="859" t="s">
        <v>211</v>
      </c>
      <c r="C54" s="850" t="s">
        <v>9</v>
      </c>
      <c r="D54" s="851" t="s">
        <v>9</v>
      </c>
      <c r="E54" s="850" t="s">
        <v>81</v>
      </c>
      <c r="F54" s="37" t="s">
        <v>20</v>
      </c>
      <c r="G54" s="2">
        <f>G58+G62</f>
        <v>2677.2475599999998</v>
      </c>
      <c r="H54" s="847" t="s">
        <v>9</v>
      </c>
      <c r="I54" s="184"/>
    </row>
    <row r="55" spans="1:10" ht="21" customHeight="1">
      <c r="A55" s="863"/>
      <c r="B55" s="859"/>
      <c r="C55" s="850"/>
      <c r="D55" s="851"/>
      <c r="E55" s="850"/>
      <c r="F55" s="38" t="s">
        <v>24</v>
      </c>
      <c r="G55" s="2">
        <f>G59+G63</f>
        <v>977.197</v>
      </c>
      <c r="H55" s="847"/>
      <c r="I55" s="178"/>
    </row>
    <row r="56" spans="1:10" ht="19.2" customHeight="1">
      <c r="A56" s="863"/>
      <c r="B56" s="859"/>
      <c r="C56" s="850"/>
      <c r="D56" s="851"/>
      <c r="E56" s="850"/>
      <c r="F56" s="38" t="s">
        <v>10</v>
      </c>
      <c r="G56" s="2">
        <f>G60+G64</f>
        <v>1456.6644200000001</v>
      </c>
      <c r="H56" s="847"/>
      <c r="I56" s="178"/>
    </row>
    <row r="57" spans="1:10" ht="19.2" customHeight="1">
      <c r="A57" s="863"/>
      <c r="B57" s="859"/>
      <c r="C57" s="850"/>
      <c r="D57" s="851"/>
      <c r="E57" s="850"/>
      <c r="F57" s="38" t="s">
        <v>11</v>
      </c>
      <c r="G57" s="2">
        <f>G61+G65</f>
        <v>243.38614000000001</v>
      </c>
      <c r="H57" s="847"/>
      <c r="I57" s="178"/>
      <c r="J57" s="17"/>
    </row>
    <row r="58" spans="1:10" ht="19.2" customHeight="1">
      <c r="A58" s="848" t="s">
        <v>55</v>
      </c>
      <c r="B58" s="849" t="s">
        <v>401</v>
      </c>
      <c r="C58" s="850" t="s">
        <v>190</v>
      </c>
      <c r="D58" s="851">
        <v>1</v>
      </c>
      <c r="E58" s="850" t="s">
        <v>81</v>
      </c>
      <c r="F58" s="37" t="s">
        <v>20</v>
      </c>
      <c r="G58" s="2">
        <f>G59+G60+G61</f>
        <v>2177.2475599999998</v>
      </c>
      <c r="H58" s="847" t="s">
        <v>112</v>
      </c>
      <c r="I58" s="180"/>
      <c r="J58" s="181"/>
    </row>
    <row r="59" spans="1:10" ht="15.6" customHeight="1">
      <c r="A59" s="848"/>
      <c r="B59" s="849"/>
      <c r="C59" s="850"/>
      <c r="D59" s="851"/>
      <c r="E59" s="850"/>
      <c r="F59" s="38" t="s">
        <v>24</v>
      </c>
      <c r="G59" s="5">
        <v>977.197</v>
      </c>
      <c r="H59" s="847"/>
      <c r="I59" s="182"/>
      <c r="J59" s="183"/>
    </row>
    <row r="60" spans="1:10" ht="13.2" customHeight="1">
      <c r="A60" s="848"/>
      <c r="B60" s="849"/>
      <c r="C60" s="850"/>
      <c r="D60" s="851"/>
      <c r="E60" s="850"/>
      <c r="F60" s="38" t="s">
        <v>10</v>
      </c>
      <c r="G60" s="5">
        <v>1095.6306400000001</v>
      </c>
      <c r="H60" s="847"/>
      <c r="I60" s="182"/>
      <c r="J60" s="182"/>
    </row>
    <row r="61" spans="1:10" ht="16.2" customHeight="1">
      <c r="A61" s="848"/>
      <c r="B61" s="849"/>
      <c r="C61" s="850"/>
      <c r="D61" s="851"/>
      <c r="E61" s="850"/>
      <c r="F61" s="38" t="s">
        <v>11</v>
      </c>
      <c r="G61" s="5">
        <v>104.41992</v>
      </c>
      <c r="H61" s="847"/>
      <c r="I61" s="178"/>
      <c r="J61" s="178"/>
    </row>
    <row r="62" spans="1:10" ht="19.2" customHeight="1">
      <c r="A62" s="848" t="s">
        <v>399</v>
      </c>
      <c r="B62" s="849" t="s">
        <v>119</v>
      </c>
      <c r="C62" s="850" t="s">
        <v>190</v>
      </c>
      <c r="D62" s="851">
        <v>1</v>
      </c>
      <c r="E62" s="850" t="s">
        <v>81</v>
      </c>
      <c r="F62" s="37" t="s">
        <v>20</v>
      </c>
      <c r="G62" s="2">
        <f>G63+G64+G65</f>
        <v>500</v>
      </c>
      <c r="H62" s="847" t="s">
        <v>112</v>
      </c>
    </row>
    <row r="63" spans="1:10" ht="15.6" customHeight="1">
      <c r="A63" s="848"/>
      <c r="B63" s="849"/>
      <c r="C63" s="850"/>
      <c r="D63" s="851"/>
      <c r="E63" s="850"/>
      <c r="F63" s="38" t="s">
        <v>24</v>
      </c>
      <c r="G63" s="5">
        <v>0</v>
      </c>
      <c r="H63" s="847"/>
    </row>
    <row r="64" spans="1:10" ht="13.2" customHeight="1">
      <c r="A64" s="848"/>
      <c r="B64" s="849"/>
      <c r="C64" s="850"/>
      <c r="D64" s="851"/>
      <c r="E64" s="850"/>
      <c r="F64" s="38" t="s">
        <v>10</v>
      </c>
      <c r="G64" s="5">
        <v>361.03377999999998</v>
      </c>
      <c r="H64" s="847"/>
    </row>
    <row r="65" spans="1:10" ht="16.2" customHeight="1">
      <c r="A65" s="848"/>
      <c r="B65" s="849"/>
      <c r="C65" s="850"/>
      <c r="D65" s="851"/>
      <c r="E65" s="850"/>
      <c r="F65" s="38" t="s">
        <v>11</v>
      </c>
      <c r="G65" s="5">
        <v>138.96621999999999</v>
      </c>
      <c r="H65" s="847"/>
      <c r="J65" s="17"/>
    </row>
    <row r="66" spans="1:10" ht="16.2" customHeight="1">
      <c r="A66" s="173"/>
      <c r="B66" s="174"/>
      <c r="C66" s="175"/>
      <c r="D66" s="176"/>
      <c r="E66" s="175"/>
      <c r="F66" s="177"/>
      <c r="G66" s="178"/>
      <c r="H66" s="179"/>
      <c r="J66" s="17"/>
    </row>
    <row r="67" spans="1:10" hidden="1">
      <c r="F67" s="185" t="s">
        <v>20</v>
      </c>
      <c r="G67" s="186">
        <f>G68+G69+G70</f>
        <v>12902.82086</v>
      </c>
      <c r="H67" s="852" t="s">
        <v>84</v>
      </c>
    </row>
    <row r="68" spans="1:10" hidden="1">
      <c r="F68" s="38" t="s">
        <v>24</v>
      </c>
      <c r="G68" s="19">
        <f>G15+G47</f>
        <v>11379.29946</v>
      </c>
      <c r="H68" s="847"/>
    </row>
    <row r="69" spans="1:10" hidden="1">
      <c r="F69" s="39" t="s">
        <v>10</v>
      </c>
      <c r="G69" s="19">
        <f>G16+G48</f>
        <v>598.91050999999993</v>
      </c>
      <c r="H69" s="847"/>
    </row>
    <row r="70" spans="1:10" hidden="1">
      <c r="F70" s="39" t="s">
        <v>11</v>
      </c>
      <c r="G70" s="19">
        <f>G17+G49</f>
        <v>924.61089000000004</v>
      </c>
      <c r="H70" s="847"/>
    </row>
    <row r="71" spans="1:10" hidden="1">
      <c r="F71" s="20"/>
      <c r="G71" s="20"/>
    </row>
    <row r="72" spans="1:10" hidden="1">
      <c r="F72" s="37" t="s">
        <v>20</v>
      </c>
      <c r="G72" s="2">
        <f>G73+G74+G75</f>
        <v>2621.8555700000002</v>
      </c>
      <c r="H72" s="853" t="s">
        <v>112</v>
      </c>
    </row>
    <row r="73" spans="1:10" hidden="1">
      <c r="F73" s="38" t="s">
        <v>24</v>
      </c>
      <c r="G73" s="5">
        <f>G51+G59</f>
        <v>1397.47324</v>
      </c>
      <c r="H73" s="854"/>
    </row>
    <row r="74" spans="1:10" hidden="1">
      <c r="F74" s="38" t="s">
        <v>10</v>
      </c>
      <c r="G74" s="5">
        <f>G52+G60</f>
        <v>1117.7504300000001</v>
      </c>
      <c r="H74" s="854"/>
    </row>
    <row r="75" spans="1:10" hidden="1">
      <c r="F75" s="38" t="s">
        <v>11</v>
      </c>
      <c r="G75" s="5">
        <f>G53+G61</f>
        <v>106.6319</v>
      </c>
      <c r="H75" s="852"/>
      <c r="J75" s="18"/>
    </row>
    <row r="76" spans="1:10" hidden="1">
      <c r="F76" s="20"/>
      <c r="G76" s="20"/>
    </row>
    <row r="77" spans="1:10" hidden="1">
      <c r="F77" s="20"/>
      <c r="G77" s="20"/>
    </row>
    <row r="78" spans="1:10" hidden="1">
      <c r="F78" s="20"/>
      <c r="G78" s="144">
        <f>G67+G72</f>
        <v>15524.67643</v>
      </c>
    </row>
    <row r="79" spans="1:10" hidden="1">
      <c r="F79" s="20"/>
      <c r="G79" s="145">
        <f>G68+G73</f>
        <v>12776.7727</v>
      </c>
    </row>
    <row r="80" spans="1:10" hidden="1">
      <c r="F80" s="20"/>
      <c r="G80" s="145">
        <f>G69+G74</f>
        <v>1716.66094</v>
      </c>
    </row>
    <row r="81" spans="6:10" hidden="1">
      <c r="F81" s="20"/>
      <c r="G81" s="145">
        <f>G70+G75</f>
        <v>1031.24279</v>
      </c>
    </row>
    <row r="82" spans="6:10" hidden="1">
      <c r="F82" s="20"/>
      <c r="G82" s="20"/>
    </row>
    <row r="83" spans="6:10" hidden="1">
      <c r="F83" s="20"/>
      <c r="G83" s="20"/>
    </row>
    <row r="84" spans="6:10" hidden="1">
      <c r="F84" s="20"/>
      <c r="G84" s="20"/>
    </row>
    <row r="85" spans="6:10" ht="14.4" hidden="1" thickBot="1">
      <c r="F85" s="20"/>
      <c r="G85" s="20"/>
    </row>
    <row r="86" spans="6:10" ht="15" hidden="1" thickBot="1">
      <c r="F86" s="146">
        <v>8324.4470000000001</v>
      </c>
      <c r="G86" s="147">
        <v>3739.6736799999999</v>
      </c>
      <c r="H86" s="148">
        <v>2677.2475599999998</v>
      </c>
      <c r="I86" s="159">
        <f>SUM(F86:H86)</f>
        <v>14741.36824</v>
      </c>
    </row>
    <row r="87" spans="6:10" ht="15" hidden="1" thickBot="1">
      <c r="F87" s="149">
        <v>7070.0298300000004</v>
      </c>
      <c r="G87" s="150">
        <v>3535.0149200000001</v>
      </c>
      <c r="H87" s="151">
        <v>977.197</v>
      </c>
      <c r="I87" s="159">
        <f>SUM(F87:H87)</f>
        <v>11582.241750000001</v>
      </c>
    </row>
    <row r="88" spans="6:10" ht="15" hidden="1" thickBot="1">
      <c r="F88" s="152">
        <v>372.10683</v>
      </c>
      <c r="G88" s="151">
        <v>186.05341999999999</v>
      </c>
      <c r="H88" s="150">
        <v>1456.6644200000001</v>
      </c>
      <c r="I88" s="135">
        <f>SUM(F88:H88)</f>
        <v>2014.82467</v>
      </c>
    </row>
    <row r="89" spans="6:10" ht="15" hidden="1" thickBot="1">
      <c r="F89" s="152">
        <v>882.31034</v>
      </c>
      <c r="G89" s="151">
        <v>18.605340000000002</v>
      </c>
      <c r="H89" s="151">
        <v>243.38614000000001</v>
      </c>
      <c r="I89" s="135">
        <f>SUM(F89:H89)</f>
        <v>1144.3018199999999</v>
      </c>
    </row>
    <row r="90" spans="6:10" ht="18.600000000000001" hidden="1" thickBot="1">
      <c r="F90" s="153"/>
      <c r="G90" s="154"/>
      <c r="H90" s="154"/>
    </row>
    <row r="91" spans="6:10" ht="18.600000000000001" hidden="1" thickBot="1">
      <c r="F91" s="155">
        <v>842.45866999999998</v>
      </c>
      <c r="G91" s="156">
        <v>444.60793999999999</v>
      </c>
      <c r="H91" s="157"/>
      <c r="I91" s="135">
        <f>SUM(F91:H91)</f>
        <v>1287.0666099999999</v>
      </c>
      <c r="J91" s="18">
        <f>I86+I91</f>
        <v>16028.43485</v>
      </c>
    </row>
    <row r="92" spans="6:10" ht="18.600000000000001" hidden="1" thickBot="1">
      <c r="F92" s="152">
        <v>796.35397</v>
      </c>
      <c r="G92" s="151">
        <v>398.17698000000001</v>
      </c>
      <c r="H92" s="157"/>
      <c r="I92" s="135">
        <f>SUM(F92:H92)</f>
        <v>1194.5309500000001</v>
      </c>
      <c r="J92" s="18">
        <f>I87+I92</f>
        <v>12776.772700000001</v>
      </c>
    </row>
    <row r="93" spans="6:10" ht="18.600000000000001" hidden="1" thickBot="1">
      <c r="F93" s="152">
        <v>41.91337</v>
      </c>
      <c r="G93" s="151">
        <v>20.956679999999999</v>
      </c>
      <c r="H93" s="157"/>
      <c r="I93" s="135">
        <f>SUM(F93:H93)</f>
        <v>62.870049999999999</v>
      </c>
      <c r="J93" s="18">
        <f>I88+I93</f>
        <v>2077.69472</v>
      </c>
    </row>
    <row r="94" spans="6:10" ht="18.600000000000001" hidden="1" thickBot="1">
      <c r="F94" s="152">
        <v>4.1913299999999998</v>
      </c>
      <c r="G94" s="151">
        <v>25.47428</v>
      </c>
      <c r="H94" s="157"/>
      <c r="I94" s="135">
        <f>SUM(F94:H94)</f>
        <v>29.665610000000001</v>
      </c>
      <c r="J94" s="18">
        <f>I89+I94</f>
        <v>1173.9674299999999</v>
      </c>
    </row>
    <row r="95" spans="6:10" hidden="1">
      <c r="F95" s="20"/>
      <c r="G95" s="20"/>
    </row>
    <row r="96" spans="6:10" hidden="1">
      <c r="F96" s="20"/>
      <c r="G96" s="20"/>
    </row>
    <row r="97" spans="6:8" hidden="1">
      <c r="F97" s="128">
        <f t="shared" ref="F97:H100" si="0">F86+F91</f>
        <v>9166.9056700000001</v>
      </c>
      <c r="G97" s="128">
        <f t="shared" si="0"/>
        <v>4184.2816199999997</v>
      </c>
      <c r="H97" s="128">
        <f t="shared" si="0"/>
        <v>2677.2475599999998</v>
      </c>
    </row>
    <row r="98" spans="6:8" hidden="1">
      <c r="F98" s="128">
        <f t="shared" si="0"/>
        <v>7866.3838000000005</v>
      </c>
      <c r="G98" s="128">
        <f t="shared" si="0"/>
        <v>3933.1919000000003</v>
      </c>
      <c r="H98" s="128">
        <f t="shared" si="0"/>
        <v>977.197</v>
      </c>
    </row>
    <row r="99" spans="6:8" hidden="1">
      <c r="F99" s="128">
        <f t="shared" si="0"/>
        <v>414.02019999999999</v>
      </c>
      <c r="G99" s="128">
        <f t="shared" si="0"/>
        <v>207.01009999999999</v>
      </c>
      <c r="H99" s="128">
        <f t="shared" si="0"/>
        <v>1456.6644200000001</v>
      </c>
    </row>
    <row r="100" spans="6:8" hidden="1">
      <c r="F100" s="128">
        <f t="shared" si="0"/>
        <v>886.50166999999999</v>
      </c>
      <c r="G100" s="128">
        <f t="shared" si="0"/>
        <v>44.079620000000006</v>
      </c>
      <c r="H100" s="128">
        <f t="shared" si="0"/>
        <v>243.38614000000001</v>
      </c>
    </row>
    <row r="101" spans="6:8" hidden="1">
      <c r="F101" s="20"/>
      <c r="G101" s="20"/>
    </row>
    <row r="102" spans="6:8" hidden="1">
      <c r="F102" s="20"/>
      <c r="G102" s="20"/>
    </row>
    <row r="103" spans="6:8" hidden="1">
      <c r="F103" s="20"/>
      <c r="G103" s="20"/>
    </row>
    <row r="104" spans="6:8">
      <c r="F104" s="20"/>
      <c r="G104" s="20"/>
    </row>
    <row r="105" spans="6:8">
      <c r="F105" s="20"/>
      <c r="G105" s="20"/>
    </row>
    <row r="106" spans="6:8">
      <c r="F106" s="20"/>
      <c r="G106" s="20"/>
    </row>
    <row r="107" spans="6:8">
      <c r="F107" s="20"/>
      <c r="G107" s="20"/>
    </row>
    <row r="108" spans="6:8">
      <c r="F108" s="20"/>
      <c r="G108" s="20"/>
    </row>
    <row r="109" spans="6:8">
      <c r="F109" s="20"/>
      <c r="G109" s="20"/>
    </row>
    <row r="110" spans="6:8">
      <c r="F110" s="20"/>
      <c r="G110" s="20"/>
    </row>
    <row r="111" spans="6:8">
      <c r="F111" s="20"/>
      <c r="G111" s="20"/>
    </row>
    <row r="112" spans="6:8">
      <c r="F112" s="20"/>
      <c r="G112" s="20"/>
    </row>
    <row r="113" spans="6:7">
      <c r="F113" s="20"/>
      <c r="G113" s="20"/>
    </row>
    <row r="114" spans="6:7">
      <c r="F114" s="20"/>
      <c r="G114" s="20"/>
    </row>
    <row r="115" spans="6:7">
      <c r="F115" s="20"/>
      <c r="G115" s="20"/>
    </row>
    <row r="116" spans="6:7">
      <c r="F116" s="20"/>
      <c r="G116" s="20"/>
    </row>
    <row r="117" spans="6:7">
      <c r="F117" s="20"/>
      <c r="G117" s="20"/>
    </row>
    <row r="118" spans="6:7">
      <c r="F118" s="20"/>
      <c r="G118" s="20"/>
    </row>
    <row r="119" spans="6:7">
      <c r="F119" s="20"/>
      <c r="G119" s="20"/>
    </row>
    <row r="120" spans="6:7">
      <c r="F120" s="20"/>
      <c r="G120" s="20"/>
    </row>
    <row r="121" spans="6:7">
      <c r="F121" s="20"/>
      <c r="G121" s="20"/>
    </row>
    <row r="122" spans="6:7">
      <c r="F122" s="20"/>
      <c r="G122" s="20"/>
    </row>
    <row r="123" spans="6:7">
      <c r="F123" s="20"/>
      <c r="G123" s="20"/>
    </row>
    <row r="124" spans="6:7">
      <c r="F124" s="20"/>
      <c r="G124" s="20"/>
    </row>
    <row r="125" spans="6:7">
      <c r="F125" s="20"/>
      <c r="G125" s="20"/>
    </row>
    <row r="126" spans="6:7">
      <c r="F126" s="20"/>
      <c r="G126" s="20"/>
    </row>
    <row r="127" spans="6:7">
      <c r="F127" s="20"/>
      <c r="G127" s="20"/>
    </row>
    <row r="128" spans="6:7">
      <c r="F128" s="20"/>
      <c r="G128" s="20"/>
    </row>
    <row r="129" spans="6:7">
      <c r="F129" s="20"/>
      <c r="G129" s="20"/>
    </row>
    <row r="130" spans="6:7">
      <c r="F130" s="20"/>
      <c r="G130" s="20"/>
    </row>
    <row r="131" spans="6:7">
      <c r="F131" s="20"/>
      <c r="G131" s="20"/>
    </row>
    <row r="132" spans="6:7">
      <c r="F132" s="20"/>
      <c r="G132" s="20"/>
    </row>
    <row r="133" spans="6:7">
      <c r="F133" s="20"/>
      <c r="G133" s="20"/>
    </row>
    <row r="134" spans="6:7">
      <c r="F134" s="20"/>
      <c r="G134" s="20"/>
    </row>
    <row r="135" spans="6:7">
      <c r="F135" s="20"/>
      <c r="G135" s="20"/>
    </row>
    <row r="136" spans="6:7">
      <c r="F136" s="20"/>
      <c r="G136" s="20"/>
    </row>
    <row r="137" spans="6:7">
      <c r="F137" s="20"/>
      <c r="G137" s="20"/>
    </row>
    <row r="138" spans="6:7">
      <c r="F138" s="20"/>
      <c r="G138" s="20"/>
    </row>
    <row r="139" spans="6:7">
      <c r="F139" s="20"/>
      <c r="G139" s="20"/>
    </row>
    <row r="140" spans="6:7">
      <c r="F140" s="20"/>
      <c r="G140" s="20"/>
    </row>
    <row r="141" spans="6:7">
      <c r="F141" s="20"/>
      <c r="G141" s="20"/>
    </row>
    <row r="142" spans="6:7">
      <c r="F142" s="20"/>
      <c r="G142" s="20"/>
    </row>
    <row r="143" spans="6:7">
      <c r="F143" s="20"/>
      <c r="G143" s="20"/>
    </row>
  </sheetData>
  <mergeCells count="104">
    <mergeCell ref="H50:H53"/>
    <mergeCell ref="A50:A53"/>
    <mergeCell ref="B50:B53"/>
    <mergeCell ref="C50:C53"/>
    <mergeCell ref="D50:D53"/>
    <mergeCell ref="E50:E53"/>
    <mergeCell ref="B38:B41"/>
    <mergeCell ref="C38:C41"/>
    <mergeCell ref="D38:D41"/>
    <mergeCell ref="E38:E41"/>
    <mergeCell ref="H38:H41"/>
    <mergeCell ref="C46:C49"/>
    <mergeCell ref="D46:D49"/>
    <mergeCell ref="E46:E49"/>
    <mergeCell ref="H46:H49"/>
    <mergeCell ref="A34:A37"/>
    <mergeCell ref="B34:B37"/>
    <mergeCell ref="C34:C37"/>
    <mergeCell ref="D34:D37"/>
    <mergeCell ref="E34:E37"/>
    <mergeCell ref="D42:D45"/>
    <mergeCell ref="E42:E45"/>
    <mergeCell ref="H42:H45"/>
    <mergeCell ref="A38:A41"/>
    <mergeCell ref="H58:H61"/>
    <mergeCell ref="A30:A33"/>
    <mergeCell ref="B30:B33"/>
    <mergeCell ref="C30:C33"/>
    <mergeCell ref="D30:D33"/>
    <mergeCell ref="E30:E33"/>
    <mergeCell ref="H30:H33"/>
    <mergeCell ref="A54:A57"/>
    <mergeCell ref="B54:B57"/>
    <mergeCell ref="C54:C57"/>
    <mergeCell ref="D54:D57"/>
    <mergeCell ref="E54:E57"/>
    <mergeCell ref="H54:H57"/>
    <mergeCell ref="A42:A45"/>
    <mergeCell ref="B42:B45"/>
    <mergeCell ref="C42:C45"/>
    <mergeCell ref="A58:A61"/>
    <mergeCell ref="B58:B61"/>
    <mergeCell ref="C58:C61"/>
    <mergeCell ref="D58:D61"/>
    <mergeCell ref="E58:E61"/>
    <mergeCell ref="H34:H37"/>
    <mergeCell ref="A46:A49"/>
    <mergeCell ref="B46:B49"/>
    <mergeCell ref="H22:H25"/>
    <mergeCell ref="A26:A29"/>
    <mergeCell ref="B26:B29"/>
    <mergeCell ref="C26:C29"/>
    <mergeCell ref="D26:D29"/>
    <mergeCell ref="E26:E29"/>
    <mergeCell ref="A22:A25"/>
    <mergeCell ref="B22:B25"/>
    <mergeCell ref="C22:C25"/>
    <mergeCell ref="D22:D25"/>
    <mergeCell ref="E22:E25"/>
    <mergeCell ref="H26:H29"/>
    <mergeCell ref="C18:C21"/>
    <mergeCell ref="D18:D21"/>
    <mergeCell ref="E18:E21"/>
    <mergeCell ref="H18:H21"/>
    <mergeCell ref="A14:A17"/>
    <mergeCell ref="B14:B17"/>
    <mergeCell ref="E14:E17"/>
    <mergeCell ref="C14:C15"/>
    <mergeCell ref="D14:D15"/>
    <mergeCell ref="C16:C17"/>
    <mergeCell ref="D16:D17"/>
    <mergeCell ref="B1:E1"/>
    <mergeCell ref="A2:H2"/>
    <mergeCell ref="A4:A5"/>
    <mergeCell ref="B4:B5"/>
    <mergeCell ref="C4:D4"/>
    <mergeCell ref="E4:E5"/>
    <mergeCell ref="F4:F5"/>
    <mergeCell ref="G4:G5"/>
    <mergeCell ref="G1:H1"/>
    <mergeCell ref="H62:H65"/>
    <mergeCell ref="A62:A65"/>
    <mergeCell ref="B62:B65"/>
    <mergeCell ref="C62:C65"/>
    <mergeCell ref="D62:D65"/>
    <mergeCell ref="E62:E65"/>
    <mergeCell ref="H67:H70"/>
    <mergeCell ref="H72:H75"/>
    <mergeCell ref="H4:H5"/>
    <mergeCell ref="H10:H13"/>
    <mergeCell ref="A6:A9"/>
    <mergeCell ref="B6:B9"/>
    <mergeCell ref="C6:C9"/>
    <mergeCell ref="D6:D9"/>
    <mergeCell ref="E6:E9"/>
    <mergeCell ref="H6:H9"/>
    <mergeCell ref="A10:A13"/>
    <mergeCell ref="B10:B13"/>
    <mergeCell ref="C10:C13"/>
    <mergeCell ref="D10:D13"/>
    <mergeCell ref="E10:E13"/>
    <mergeCell ref="H14:H17"/>
    <mergeCell ref="A18:A21"/>
    <mergeCell ref="B18:B21"/>
  </mergeCells>
  <pageMargins left="0.78740157480314965" right="0.39370078740157483" top="3.937007874015748E-2" bottom="3.937007874015748E-2" header="0.31496062992125984" footer="0.31496062992125984"/>
  <pageSetup paperSize="9" scale="6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6"/>
  <sheetViews>
    <sheetView topLeftCell="A7" zoomScale="80" zoomScaleNormal="80" workbookViewId="0">
      <selection activeCell="B46" sqref="B46:B49"/>
    </sheetView>
  </sheetViews>
  <sheetFormatPr defaultColWidth="8.88671875" defaultRowHeight="13.8"/>
  <cols>
    <col min="1" max="1" width="4.6640625" style="10" customWidth="1"/>
    <col min="2" max="2" width="68.33203125" style="10" customWidth="1"/>
    <col min="3" max="3" width="9.6640625" style="10" customWidth="1"/>
    <col min="4" max="4" width="9.5546875" style="10" customWidth="1"/>
    <col min="5" max="5" width="10.33203125" style="10" customWidth="1"/>
    <col min="6" max="6" width="24.33203125" style="10" customWidth="1"/>
    <col min="7" max="7" width="22.109375" style="10" customWidth="1"/>
    <col min="8" max="8" width="21.33203125" style="10" customWidth="1"/>
    <col min="9" max="9" width="30.88671875" style="195" hidden="1" customWidth="1"/>
    <col min="10" max="10" width="27" style="10" hidden="1" customWidth="1"/>
    <col min="11" max="11" width="8.33203125" style="10" hidden="1" customWidth="1"/>
    <col min="12" max="12" width="24.44140625" style="10" hidden="1" customWidth="1"/>
    <col min="13" max="13" width="0" style="10" hidden="1" customWidth="1"/>
    <col min="14" max="14" width="15.6640625" style="10" customWidth="1"/>
    <col min="15" max="16384" width="8.88671875" style="10"/>
  </cols>
  <sheetData>
    <row r="1" spans="1:11" ht="55.2" customHeight="1">
      <c r="B1" s="869"/>
      <c r="C1" s="869"/>
      <c r="D1" s="869"/>
      <c r="E1" s="869"/>
      <c r="F1" s="7"/>
      <c r="G1" s="888" t="s">
        <v>468</v>
      </c>
      <c r="H1" s="888"/>
      <c r="I1" s="194"/>
      <c r="J1" s="6"/>
      <c r="K1" s="6"/>
    </row>
    <row r="2" spans="1:11" ht="18" customHeight="1">
      <c r="A2" s="838" t="s">
        <v>367</v>
      </c>
      <c r="B2" s="838"/>
      <c r="C2" s="838"/>
      <c r="D2" s="838"/>
      <c r="E2" s="838"/>
      <c r="F2" s="838"/>
      <c r="G2" s="838"/>
      <c r="H2" s="838"/>
    </row>
    <row r="3" spans="1:11" ht="12.6" customHeight="1">
      <c r="A3" s="130"/>
      <c r="B3" s="130"/>
      <c r="C3" s="130"/>
      <c r="D3" s="130"/>
      <c r="E3" s="130"/>
      <c r="F3" s="130"/>
      <c r="G3" s="130"/>
      <c r="H3" s="8" t="s">
        <v>22</v>
      </c>
    </row>
    <row r="4" spans="1:11" ht="17.399999999999999" customHeight="1">
      <c r="A4" s="870" t="s">
        <v>0</v>
      </c>
      <c r="B4" s="841" t="s">
        <v>6</v>
      </c>
      <c r="C4" s="841" t="s">
        <v>17</v>
      </c>
      <c r="D4" s="841"/>
      <c r="E4" s="841" t="s">
        <v>8</v>
      </c>
      <c r="F4" s="841" t="s">
        <v>19</v>
      </c>
      <c r="G4" s="871" t="s">
        <v>429</v>
      </c>
      <c r="H4" s="841" t="s">
        <v>23</v>
      </c>
    </row>
    <row r="5" spans="1:11" ht="19.95" customHeight="1">
      <c r="A5" s="870"/>
      <c r="B5" s="841"/>
      <c r="C5" s="129" t="s">
        <v>7</v>
      </c>
      <c r="D5" s="129" t="s">
        <v>18</v>
      </c>
      <c r="E5" s="841"/>
      <c r="F5" s="841"/>
      <c r="G5" s="872"/>
      <c r="H5" s="841"/>
    </row>
    <row r="6" spans="1:11" ht="15" customHeight="1">
      <c r="A6" s="858"/>
      <c r="B6" s="859" t="s">
        <v>569</v>
      </c>
      <c r="C6" s="850" t="s">
        <v>9</v>
      </c>
      <c r="D6" s="850" t="s">
        <v>9</v>
      </c>
      <c r="E6" s="850" t="s">
        <v>9</v>
      </c>
      <c r="F6" s="37" t="s">
        <v>20</v>
      </c>
      <c r="G6" s="4">
        <f>G10+G50+G62</f>
        <v>71937.059509999992</v>
      </c>
      <c r="H6" s="860" t="s">
        <v>9</v>
      </c>
    </row>
    <row r="7" spans="1:11" ht="15" customHeight="1">
      <c r="A7" s="858"/>
      <c r="B7" s="859"/>
      <c r="C7" s="850"/>
      <c r="D7" s="850"/>
      <c r="E7" s="850"/>
      <c r="F7" s="37" t="s">
        <v>24</v>
      </c>
      <c r="G7" s="4">
        <f>G11+G51+G63</f>
        <v>69903.157279999999</v>
      </c>
      <c r="H7" s="861"/>
    </row>
    <row r="8" spans="1:11" ht="15" customHeight="1">
      <c r="A8" s="858"/>
      <c r="B8" s="849"/>
      <c r="C8" s="850"/>
      <c r="D8" s="850"/>
      <c r="E8" s="850"/>
      <c r="F8" s="37" t="s">
        <v>10</v>
      </c>
      <c r="G8" s="4">
        <f>G12+G52+G64</f>
        <v>1774.45047</v>
      </c>
      <c r="H8" s="861"/>
    </row>
    <row r="9" spans="1:11" ht="15" customHeight="1">
      <c r="A9" s="858"/>
      <c r="B9" s="849"/>
      <c r="C9" s="850"/>
      <c r="D9" s="850"/>
      <c r="E9" s="850"/>
      <c r="F9" s="37" t="s">
        <v>11</v>
      </c>
      <c r="G9" s="4">
        <f>G13+G53+G65</f>
        <v>259.45176000000038</v>
      </c>
      <c r="H9" s="862"/>
    </row>
    <row r="10" spans="1:11" ht="19.2" customHeight="1">
      <c r="A10" s="863" t="s">
        <v>3</v>
      </c>
      <c r="B10" s="859" t="s">
        <v>656</v>
      </c>
      <c r="C10" s="850" t="s">
        <v>9</v>
      </c>
      <c r="D10" s="864" t="s">
        <v>9</v>
      </c>
      <c r="E10" s="850" t="s">
        <v>368</v>
      </c>
      <c r="F10" s="37" t="s">
        <v>20</v>
      </c>
      <c r="G10" s="204">
        <f>G11+G12+G13</f>
        <v>16079.861509999999</v>
      </c>
      <c r="H10" s="855" t="s">
        <v>9</v>
      </c>
      <c r="I10" s="200">
        <f>I11+I12+I13</f>
        <v>15553.630299999999</v>
      </c>
      <c r="J10" s="18"/>
      <c r="K10" s="18"/>
    </row>
    <row r="11" spans="1:11" ht="19.2" customHeight="1">
      <c r="A11" s="863"/>
      <c r="B11" s="859"/>
      <c r="C11" s="850"/>
      <c r="D11" s="865"/>
      <c r="E11" s="850"/>
      <c r="F11" s="38" t="s">
        <v>24</v>
      </c>
      <c r="G11" s="205">
        <f>G15+G39</f>
        <v>15903.157279999999</v>
      </c>
      <c r="H11" s="856"/>
      <c r="I11" s="18">
        <v>15382.70953</v>
      </c>
      <c r="J11" s="18"/>
      <c r="K11" s="18"/>
    </row>
    <row r="12" spans="1:11" ht="19.2" customHeight="1">
      <c r="A12" s="863"/>
      <c r="B12" s="859"/>
      <c r="C12" s="850"/>
      <c r="D12" s="865"/>
      <c r="E12" s="850"/>
      <c r="F12" s="38" t="s">
        <v>10</v>
      </c>
      <c r="G12" s="205">
        <f>G16+G40</f>
        <v>160.63956999999999</v>
      </c>
      <c r="H12" s="856"/>
      <c r="I12" s="18">
        <v>155.38252</v>
      </c>
      <c r="J12" s="18"/>
      <c r="K12" s="18"/>
    </row>
    <row r="13" spans="1:11" ht="19.2" customHeight="1">
      <c r="A13" s="863"/>
      <c r="B13" s="859"/>
      <c r="C13" s="850"/>
      <c r="D13" s="866"/>
      <c r="E13" s="850"/>
      <c r="F13" s="38" t="s">
        <v>11</v>
      </c>
      <c r="G13" s="205">
        <f>G17+G41</f>
        <v>16.064660000000487</v>
      </c>
      <c r="H13" s="857"/>
      <c r="I13" s="201">
        <v>15.53825</v>
      </c>
    </row>
    <row r="14" spans="1:11" ht="18" customHeight="1">
      <c r="A14" s="875" t="s">
        <v>25</v>
      </c>
      <c r="B14" s="876" t="s">
        <v>407</v>
      </c>
      <c r="C14" s="850" t="s">
        <v>27</v>
      </c>
      <c r="D14" s="881">
        <f>D18+D22+D26+D30+D34</f>
        <v>3480</v>
      </c>
      <c r="E14" s="850" t="s">
        <v>368</v>
      </c>
      <c r="F14" s="37" t="s">
        <v>20</v>
      </c>
      <c r="G14" s="3">
        <f>G15+G16+G17</f>
        <v>9529.7259999999987</v>
      </c>
      <c r="H14" s="847" t="s">
        <v>84</v>
      </c>
      <c r="I14" s="197"/>
    </row>
    <row r="15" spans="1:11" ht="18" customHeight="1">
      <c r="A15" s="875"/>
      <c r="B15" s="876"/>
      <c r="C15" s="850"/>
      <c r="D15" s="882"/>
      <c r="E15" s="850"/>
      <c r="F15" s="38" t="s">
        <v>24</v>
      </c>
      <c r="G15" s="19">
        <f>G19+G23+G27+G31+G35</f>
        <v>9425.0034799999994</v>
      </c>
      <c r="H15" s="847"/>
      <c r="I15" s="197" t="e">
        <f>G19+G23+#REF!+G27</f>
        <v>#REF!</v>
      </c>
      <c r="J15" s="18"/>
      <c r="K15" s="18"/>
    </row>
    <row r="16" spans="1:11" ht="18" customHeight="1">
      <c r="A16" s="875"/>
      <c r="B16" s="876"/>
      <c r="C16" s="850"/>
      <c r="D16" s="882"/>
      <c r="E16" s="850"/>
      <c r="F16" s="39" t="s">
        <v>10</v>
      </c>
      <c r="G16" s="19">
        <f>G20+G24+G28+G32+G36</f>
        <v>95.202219999999997</v>
      </c>
      <c r="H16" s="847"/>
      <c r="I16" s="197" t="e">
        <f>G20+G24+#REF!+G28</f>
        <v>#REF!</v>
      </c>
      <c r="J16" s="18"/>
      <c r="K16" s="18"/>
    </row>
    <row r="17" spans="1:11" ht="18" customHeight="1">
      <c r="A17" s="875"/>
      <c r="B17" s="876"/>
      <c r="C17" s="850"/>
      <c r="D17" s="883"/>
      <c r="E17" s="850"/>
      <c r="F17" s="39" t="s">
        <v>11</v>
      </c>
      <c r="G17" s="19">
        <f>G21+G25+G29+G33+G37</f>
        <v>9.5203000000004856</v>
      </c>
      <c r="H17" s="847"/>
      <c r="I17" s="197"/>
    </row>
    <row r="18" spans="1:11" ht="18" customHeight="1">
      <c r="A18" s="867" t="s">
        <v>12</v>
      </c>
      <c r="B18" s="868" t="s">
        <v>423</v>
      </c>
      <c r="C18" s="850" t="s">
        <v>27</v>
      </c>
      <c r="D18" s="881">
        <v>545</v>
      </c>
      <c r="E18" s="850" t="s">
        <v>368</v>
      </c>
      <c r="F18" s="37" t="s">
        <v>20</v>
      </c>
      <c r="G18" s="3">
        <v>1772.8910000000001</v>
      </c>
      <c r="H18" s="847" t="s">
        <v>84</v>
      </c>
      <c r="I18" s="197"/>
    </row>
    <row r="19" spans="1:11" ht="18" customHeight="1">
      <c r="A19" s="867"/>
      <c r="B19" s="868"/>
      <c r="C19" s="850"/>
      <c r="D19" s="882"/>
      <c r="E19" s="850"/>
      <c r="F19" s="38" t="s">
        <v>24</v>
      </c>
      <c r="G19" s="19">
        <v>1753.4086299999999</v>
      </c>
      <c r="H19" s="847"/>
      <c r="I19" s="199">
        <f>ROUND(I11/I10,16)</f>
        <v>0.98901087612967098</v>
      </c>
      <c r="J19" s="202"/>
      <c r="K19" s="202"/>
    </row>
    <row r="20" spans="1:11" ht="18" customHeight="1">
      <c r="A20" s="867"/>
      <c r="B20" s="868"/>
      <c r="C20" s="850"/>
      <c r="D20" s="882"/>
      <c r="E20" s="850"/>
      <c r="F20" s="39" t="s">
        <v>10</v>
      </c>
      <c r="G20" s="19">
        <v>17.71123</v>
      </c>
      <c r="H20" s="847"/>
      <c r="I20" s="199">
        <f>ROUND(I12/I10,16)</f>
        <v>9.9901127262874995E-3</v>
      </c>
      <c r="J20" s="202"/>
      <c r="K20" s="202"/>
    </row>
    <row r="21" spans="1:11" ht="18" customHeight="1">
      <c r="A21" s="867"/>
      <c r="B21" s="868"/>
      <c r="C21" s="850"/>
      <c r="D21" s="883"/>
      <c r="E21" s="850"/>
      <c r="F21" s="39" t="s">
        <v>11</v>
      </c>
      <c r="G21" s="5">
        <f>G18-G19-G20</f>
        <v>1.7711400000001731</v>
      </c>
      <c r="H21" s="847"/>
      <c r="I21" s="199">
        <f>ROUND(I13/I10,16)</f>
        <v>9.9901114404140007E-4</v>
      </c>
      <c r="J21" s="202"/>
      <c r="K21" s="202"/>
    </row>
    <row r="22" spans="1:11" ht="18" customHeight="1">
      <c r="A22" s="867" t="s">
        <v>518</v>
      </c>
      <c r="B22" s="868" t="s">
        <v>433</v>
      </c>
      <c r="C22" s="850" t="s">
        <v>27</v>
      </c>
      <c r="D22" s="881">
        <v>1190</v>
      </c>
      <c r="E22" s="850" t="s">
        <v>368</v>
      </c>
      <c r="F22" s="37" t="s">
        <v>20</v>
      </c>
      <c r="G22" s="3">
        <v>2852.0239999999999</v>
      </c>
      <c r="H22" s="847" t="s">
        <v>84</v>
      </c>
      <c r="I22" s="197"/>
    </row>
    <row r="23" spans="1:11" ht="18" customHeight="1">
      <c r="A23" s="867"/>
      <c r="B23" s="868"/>
      <c r="C23" s="850"/>
      <c r="D23" s="882"/>
      <c r="E23" s="850"/>
      <c r="F23" s="38" t="s">
        <v>24</v>
      </c>
      <c r="G23" s="19">
        <v>2820.683</v>
      </c>
      <c r="H23" s="847"/>
      <c r="I23" s="159"/>
      <c r="J23" s="18"/>
      <c r="K23" s="18"/>
    </row>
    <row r="24" spans="1:11" ht="18" customHeight="1">
      <c r="A24" s="867"/>
      <c r="B24" s="868"/>
      <c r="C24" s="850"/>
      <c r="D24" s="882"/>
      <c r="E24" s="850"/>
      <c r="F24" s="39" t="s">
        <v>10</v>
      </c>
      <c r="G24" s="19">
        <v>28.491800000000001</v>
      </c>
      <c r="H24" s="847"/>
      <c r="I24" s="159"/>
      <c r="J24" s="18"/>
      <c r="K24" s="18"/>
    </row>
    <row r="25" spans="1:11" ht="18" customHeight="1">
      <c r="A25" s="867"/>
      <c r="B25" s="868"/>
      <c r="C25" s="850"/>
      <c r="D25" s="883"/>
      <c r="E25" s="850"/>
      <c r="F25" s="39" t="s">
        <v>11</v>
      </c>
      <c r="G25" s="5">
        <f>G22-G23-G24</f>
        <v>2.8491999999998932</v>
      </c>
      <c r="H25" s="847"/>
      <c r="I25" s="159"/>
    </row>
    <row r="26" spans="1:11" ht="18" customHeight="1">
      <c r="A26" s="867" t="s">
        <v>519</v>
      </c>
      <c r="B26" s="868" t="s">
        <v>434</v>
      </c>
      <c r="C26" s="850" t="s">
        <v>27</v>
      </c>
      <c r="D26" s="881">
        <v>253</v>
      </c>
      <c r="E26" s="850" t="s">
        <v>368</v>
      </c>
      <c r="F26" s="37" t="s">
        <v>20</v>
      </c>
      <c r="G26" s="3">
        <v>659.25400000000002</v>
      </c>
      <c r="H26" s="847" t="s">
        <v>84</v>
      </c>
      <c r="I26" s="197"/>
    </row>
    <row r="27" spans="1:11" ht="18" customHeight="1">
      <c r="A27" s="867"/>
      <c r="B27" s="868"/>
      <c r="C27" s="850"/>
      <c r="D27" s="882"/>
      <c r="E27" s="850"/>
      <c r="F27" s="38" t="s">
        <v>24</v>
      </c>
      <c r="G27" s="19">
        <v>652.00942999999995</v>
      </c>
      <c r="H27" s="847"/>
      <c r="I27" s="159"/>
      <c r="J27" s="18"/>
      <c r="K27" s="18"/>
    </row>
    <row r="28" spans="1:11" ht="18" customHeight="1">
      <c r="A28" s="867"/>
      <c r="B28" s="868"/>
      <c r="C28" s="850"/>
      <c r="D28" s="882"/>
      <c r="E28" s="850"/>
      <c r="F28" s="39" t="s">
        <v>10</v>
      </c>
      <c r="G28" s="19">
        <v>6.5859699999999997</v>
      </c>
      <c r="H28" s="847"/>
      <c r="I28" s="159"/>
      <c r="J28" s="18"/>
      <c r="K28" s="18"/>
    </row>
    <row r="29" spans="1:11" ht="18" customHeight="1">
      <c r="A29" s="867"/>
      <c r="B29" s="868"/>
      <c r="C29" s="850"/>
      <c r="D29" s="883"/>
      <c r="E29" s="850"/>
      <c r="F29" s="39" t="s">
        <v>11</v>
      </c>
      <c r="G29" s="5">
        <f>G26-G27-G28</f>
        <v>0.65860000000006735</v>
      </c>
      <c r="H29" s="847"/>
      <c r="I29" s="159"/>
    </row>
    <row r="30" spans="1:11" ht="18" customHeight="1">
      <c r="A30" s="867" t="s">
        <v>520</v>
      </c>
      <c r="B30" s="868" t="s">
        <v>435</v>
      </c>
      <c r="C30" s="850" t="s">
        <v>27</v>
      </c>
      <c r="D30" s="881">
        <v>1035</v>
      </c>
      <c r="E30" s="850" t="s">
        <v>368</v>
      </c>
      <c r="F30" s="37" t="s">
        <v>20</v>
      </c>
      <c r="G30" s="3">
        <v>2596.6790000000001</v>
      </c>
      <c r="H30" s="847" t="s">
        <v>84</v>
      </c>
      <c r="I30" s="197"/>
    </row>
    <row r="31" spans="1:11" ht="18" customHeight="1">
      <c r="A31" s="867"/>
      <c r="B31" s="868"/>
      <c r="C31" s="850"/>
      <c r="D31" s="882"/>
      <c r="E31" s="850"/>
      <c r="F31" s="38" t="s">
        <v>24</v>
      </c>
      <c r="G31" s="210">
        <v>2568.1439999999998</v>
      </c>
      <c r="H31" s="847"/>
      <c r="I31" s="159"/>
      <c r="J31" s="18"/>
      <c r="K31" s="18"/>
    </row>
    <row r="32" spans="1:11" ht="18" customHeight="1">
      <c r="A32" s="867"/>
      <c r="B32" s="868"/>
      <c r="C32" s="850"/>
      <c r="D32" s="882"/>
      <c r="E32" s="850"/>
      <c r="F32" s="39" t="s">
        <v>10</v>
      </c>
      <c r="G32" s="210">
        <v>25.94089</v>
      </c>
      <c r="H32" s="847"/>
      <c r="I32" s="159"/>
      <c r="J32" s="18"/>
      <c r="K32" s="18"/>
    </row>
    <row r="33" spans="1:14" ht="18" customHeight="1">
      <c r="A33" s="867"/>
      <c r="B33" s="868"/>
      <c r="C33" s="850"/>
      <c r="D33" s="883"/>
      <c r="E33" s="850"/>
      <c r="F33" s="39" t="s">
        <v>11</v>
      </c>
      <c r="G33" s="9">
        <f>G30-G31-G32</f>
        <v>2.5941100000003097</v>
      </c>
      <c r="H33" s="847"/>
      <c r="I33" s="159"/>
    </row>
    <row r="34" spans="1:14" ht="19.2" customHeight="1">
      <c r="A34" s="867" t="s">
        <v>521</v>
      </c>
      <c r="B34" s="868" t="s">
        <v>424</v>
      </c>
      <c r="C34" s="850" t="s">
        <v>27</v>
      </c>
      <c r="D34" s="892">
        <v>457</v>
      </c>
      <c r="E34" s="850" t="s">
        <v>368</v>
      </c>
      <c r="F34" s="37" t="s">
        <v>20</v>
      </c>
      <c r="G34" s="3">
        <v>1648.8779999999999</v>
      </c>
      <c r="H34" s="847" t="s">
        <v>84</v>
      </c>
      <c r="I34" s="209"/>
    </row>
    <row r="35" spans="1:14" ht="19.2" customHeight="1">
      <c r="A35" s="867"/>
      <c r="B35" s="868"/>
      <c r="C35" s="850"/>
      <c r="D35" s="893"/>
      <c r="E35" s="850"/>
      <c r="F35" s="38" t="s">
        <v>24</v>
      </c>
      <c r="G35" s="19">
        <v>1630.7584199999999</v>
      </c>
      <c r="H35" s="847"/>
      <c r="I35" s="206"/>
    </row>
    <row r="36" spans="1:14" ht="19.2" customHeight="1">
      <c r="A36" s="867"/>
      <c r="B36" s="868"/>
      <c r="C36" s="850"/>
      <c r="D36" s="893"/>
      <c r="E36" s="850"/>
      <c r="F36" s="39" t="s">
        <v>10</v>
      </c>
      <c r="G36" s="19">
        <v>16.472329999999999</v>
      </c>
      <c r="H36" s="847"/>
      <c r="I36" s="18"/>
    </row>
    <row r="37" spans="1:14" ht="19.2" customHeight="1">
      <c r="A37" s="867"/>
      <c r="B37" s="868"/>
      <c r="C37" s="850"/>
      <c r="D37" s="894"/>
      <c r="E37" s="850"/>
      <c r="F37" s="39" t="s">
        <v>11</v>
      </c>
      <c r="G37" s="5">
        <f>G34-G35-G36</f>
        <v>1.6472500000000423</v>
      </c>
      <c r="H37" s="847"/>
      <c r="I37" s="18"/>
    </row>
    <row r="38" spans="1:14" ht="21" customHeight="1">
      <c r="A38" s="875" t="s">
        <v>21</v>
      </c>
      <c r="B38" s="877" t="s">
        <v>364</v>
      </c>
      <c r="C38" s="850" t="s">
        <v>27</v>
      </c>
      <c r="D38" s="879">
        <v>500</v>
      </c>
      <c r="E38" s="850" t="s">
        <v>368</v>
      </c>
      <c r="F38" s="37" t="s">
        <v>20</v>
      </c>
      <c r="G38" s="3">
        <f>G39+G40+G41</f>
        <v>6550.1355100000001</v>
      </c>
      <c r="H38" s="847" t="s">
        <v>9</v>
      </c>
      <c r="I38" s="198"/>
      <c r="J38" s="161"/>
      <c r="K38" s="161"/>
    </row>
    <row r="39" spans="1:14" ht="24" customHeight="1">
      <c r="A39" s="875"/>
      <c r="B39" s="877"/>
      <c r="C39" s="850"/>
      <c r="D39" s="879"/>
      <c r="E39" s="850"/>
      <c r="F39" s="38" t="s">
        <v>24</v>
      </c>
      <c r="G39" s="19">
        <f>G43+G47</f>
        <v>6478.1538</v>
      </c>
      <c r="H39" s="847"/>
      <c r="I39" s="198"/>
      <c r="J39" s="160"/>
      <c r="K39" s="160"/>
    </row>
    <row r="40" spans="1:14" ht="19.2" customHeight="1">
      <c r="A40" s="875"/>
      <c r="B40" s="877"/>
      <c r="C40" s="850"/>
      <c r="D40" s="879"/>
      <c r="E40" s="850"/>
      <c r="F40" s="39" t="s">
        <v>10</v>
      </c>
      <c r="G40" s="19">
        <f>G44+G48</f>
        <v>65.437349999999995</v>
      </c>
      <c r="H40" s="847"/>
      <c r="I40" s="198"/>
      <c r="J40" s="160"/>
      <c r="K40" s="160"/>
    </row>
    <row r="41" spans="1:14" ht="19.2" customHeight="1">
      <c r="A41" s="875"/>
      <c r="B41" s="877"/>
      <c r="C41" s="850"/>
      <c r="D41" s="879"/>
      <c r="E41" s="850"/>
      <c r="F41" s="39" t="s">
        <v>11</v>
      </c>
      <c r="G41" s="19">
        <f>G45+G49</f>
        <v>6.5443600000000002</v>
      </c>
      <c r="H41" s="847"/>
      <c r="I41" s="198"/>
      <c r="J41" s="160"/>
      <c r="K41" s="160"/>
    </row>
    <row r="42" spans="1:14" ht="19.2" customHeight="1">
      <c r="A42" s="867" t="s">
        <v>1202</v>
      </c>
      <c r="B42" s="878" t="s">
        <v>450</v>
      </c>
      <c r="C42" s="850" t="s">
        <v>27</v>
      </c>
      <c r="D42" s="880">
        <v>500</v>
      </c>
      <c r="E42" s="850" t="s">
        <v>368</v>
      </c>
      <c r="F42" s="37" t="s">
        <v>20</v>
      </c>
      <c r="G42" s="3">
        <f>I42</f>
        <v>6023.9049999999997</v>
      </c>
      <c r="H42" s="847" t="s">
        <v>112</v>
      </c>
      <c r="I42" s="203">
        <v>6023.9049999999997</v>
      </c>
    </row>
    <row r="43" spans="1:14" ht="19.2" customHeight="1">
      <c r="A43" s="867"/>
      <c r="B43" s="878"/>
      <c r="C43" s="850"/>
      <c r="D43" s="880"/>
      <c r="E43" s="850"/>
      <c r="F43" s="38" t="s">
        <v>24</v>
      </c>
      <c r="G43" s="239">
        <v>5957.7073899999996</v>
      </c>
      <c r="H43" s="847"/>
      <c r="I43" s="203">
        <f>ROUND(I42*I19,5)</f>
        <v>5957.7075599999998</v>
      </c>
      <c r="J43" s="18"/>
      <c r="K43" s="18"/>
    </row>
    <row r="44" spans="1:14" ht="19.2" customHeight="1">
      <c r="A44" s="867"/>
      <c r="B44" s="878"/>
      <c r="C44" s="850"/>
      <c r="D44" s="880"/>
      <c r="E44" s="850"/>
      <c r="F44" s="39" t="s">
        <v>10</v>
      </c>
      <c r="G44" s="239">
        <v>60.178959999999996</v>
      </c>
      <c r="H44" s="847"/>
      <c r="I44" s="203">
        <f>ROUND(I42*I20,5)</f>
        <v>60.179490000000001</v>
      </c>
      <c r="J44" s="18"/>
      <c r="K44" s="18"/>
    </row>
    <row r="45" spans="1:14" ht="19.2" customHeight="1">
      <c r="A45" s="867"/>
      <c r="B45" s="878"/>
      <c r="C45" s="850"/>
      <c r="D45" s="880"/>
      <c r="E45" s="850"/>
      <c r="F45" s="39" t="s">
        <v>11</v>
      </c>
      <c r="G45" s="239">
        <v>6.0186500000000001</v>
      </c>
      <c r="H45" s="847"/>
      <c r="I45" s="203">
        <f>I42-I43-I44</f>
        <v>6.0179499999999138</v>
      </c>
      <c r="J45" s="18"/>
      <c r="K45" s="18"/>
      <c r="M45" s="18"/>
    </row>
    <row r="46" spans="1:14" ht="19.2" customHeight="1">
      <c r="A46" s="867" t="s">
        <v>166</v>
      </c>
      <c r="B46" s="878" t="s">
        <v>624</v>
      </c>
      <c r="C46" s="850" t="s">
        <v>43</v>
      </c>
      <c r="D46" s="880">
        <v>14</v>
      </c>
      <c r="E46" s="850" t="s">
        <v>368</v>
      </c>
      <c r="F46" s="37" t="s">
        <v>20</v>
      </c>
      <c r="G46" s="3">
        <f>G47+G48+G49</f>
        <v>526.23050999999998</v>
      </c>
      <c r="H46" s="847" t="s">
        <v>112</v>
      </c>
      <c r="I46" s="203">
        <v>6023.9049999999997</v>
      </c>
      <c r="J46" s="3">
        <f>J47+J48+J49</f>
        <v>526.23050999999998</v>
      </c>
      <c r="K46" s="209"/>
      <c r="L46" s="128">
        <v>504</v>
      </c>
      <c r="M46" s="128">
        <v>22.230509999999999</v>
      </c>
      <c r="N46" s="126"/>
    </row>
    <row r="47" spans="1:14" ht="19.2" customHeight="1">
      <c r="A47" s="867"/>
      <c r="B47" s="878"/>
      <c r="C47" s="850"/>
      <c r="D47" s="880"/>
      <c r="E47" s="850"/>
      <c r="F47" s="38" t="s">
        <v>24</v>
      </c>
      <c r="G47" s="213">
        <f>520.44775-0.00134</f>
        <v>520.44641000000001</v>
      </c>
      <c r="H47" s="847"/>
      <c r="I47" s="203">
        <f>ROUND(I46*I23,5)</f>
        <v>0</v>
      </c>
      <c r="J47" s="213">
        <v>520.44641000000001</v>
      </c>
      <c r="K47" s="236">
        <f>J47/J46</f>
        <v>0.98900842902476338</v>
      </c>
      <c r="L47" s="128">
        <f>K47*L46</f>
        <v>498.46024822848074</v>
      </c>
      <c r="M47" s="128">
        <f>K47*M46</f>
        <v>21.986161771519292</v>
      </c>
      <c r="N47" s="126"/>
    </row>
    <row r="48" spans="1:14" ht="19.2" customHeight="1">
      <c r="A48" s="867"/>
      <c r="B48" s="878"/>
      <c r="C48" s="850"/>
      <c r="D48" s="880"/>
      <c r="E48" s="850"/>
      <c r="F48" s="39" t="s">
        <v>10</v>
      </c>
      <c r="G48" s="213">
        <f>5.25705+0.00134</f>
        <v>5.2583899999999995</v>
      </c>
      <c r="H48" s="847"/>
      <c r="I48" s="203">
        <f>ROUND(I46*I24,5)</f>
        <v>0</v>
      </c>
      <c r="J48" s="213">
        <v>5.2583900000000003</v>
      </c>
      <c r="K48" s="236">
        <f>J48/J46</f>
        <v>9.9925601045062935E-3</v>
      </c>
      <c r="L48" s="128">
        <f>L46*K48</f>
        <v>5.0362502926711716</v>
      </c>
      <c r="M48" s="128">
        <f>K48*M46</f>
        <v>0.22213970732882818</v>
      </c>
      <c r="N48" s="126"/>
    </row>
    <row r="49" spans="1:14" ht="19.2" customHeight="1">
      <c r="A49" s="867"/>
      <c r="B49" s="878"/>
      <c r="C49" s="850"/>
      <c r="D49" s="880"/>
      <c r="E49" s="850"/>
      <c r="F49" s="39" t="s">
        <v>11</v>
      </c>
      <c r="G49" s="213">
        <v>0.52571000000000001</v>
      </c>
      <c r="H49" s="847"/>
      <c r="I49" s="203">
        <f>I46-I47-I48</f>
        <v>6023.9049999999997</v>
      </c>
      <c r="J49" s="213">
        <v>0.52571000000000001</v>
      </c>
      <c r="K49" s="236">
        <f>J49/J46</f>
        <v>9.9901087073039538E-4</v>
      </c>
      <c r="L49" s="128">
        <f>L46*K49</f>
        <v>0.50350147884811924</v>
      </c>
      <c r="M49" s="128">
        <f>K49*M46</f>
        <v>2.220852115188076E-2</v>
      </c>
      <c r="N49" s="126"/>
    </row>
    <row r="50" spans="1:14" ht="23.4" customHeight="1">
      <c r="A50" s="863" t="s">
        <v>48</v>
      </c>
      <c r="B50" s="859" t="s">
        <v>451</v>
      </c>
      <c r="C50" s="850" t="s">
        <v>9</v>
      </c>
      <c r="D50" s="889" t="s">
        <v>9</v>
      </c>
      <c r="E50" s="850" t="s">
        <v>368</v>
      </c>
      <c r="F50" s="37" t="s">
        <v>20</v>
      </c>
      <c r="G50" s="2">
        <f>G54+G58</f>
        <v>1857.1979999999999</v>
      </c>
      <c r="H50" s="853" t="s">
        <v>9</v>
      </c>
    </row>
    <row r="51" spans="1:14" ht="21" customHeight="1">
      <c r="A51" s="863"/>
      <c r="B51" s="859"/>
      <c r="C51" s="850"/>
      <c r="D51" s="890"/>
      <c r="E51" s="850"/>
      <c r="F51" s="38" t="s">
        <v>24</v>
      </c>
      <c r="G51" s="2">
        <f>G55+G59</f>
        <v>0</v>
      </c>
      <c r="H51" s="854"/>
    </row>
    <row r="52" spans="1:14" ht="19.2" customHeight="1">
      <c r="A52" s="863"/>
      <c r="B52" s="859"/>
      <c r="C52" s="850"/>
      <c r="D52" s="890"/>
      <c r="E52" s="850"/>
      <c r="F52" s="38" t="s">
        <v>10</v>
      </c>
      <c r="G52" s="2">
        <f>G56+G60</f>
        <v>1613.8108999999999</v>
      </c>
      <c r="H52" s="854"/>
    </row>
    <row r="53" spans="1:14" ht="19.2" customHeight="1">
      <c r="A53" s="863"/>
      <c r="B53" s="859"/>
      <c r="C53" s="850"/>
      <c r="D53" s="891"/>
      <c r="E53" s="850"/>
      <c r="F53" s="38" t="s">
        <v>11</v>
      </c>
      <c r="G53" s="2">
        <f>G57+G61</f>
        <v>243.38709999999992</v>
      </c>
      <c r="H53" s="852"/>
      <c r="I53" s="196"/>
    </row>
    <row r="54" spans="1:14" ht="19.2" customHeight="1">
      <c r="A54" s="848" t="s">
        <v>55</v>
      </c>
      <c r="B54" s="884" t="s">
        <v>512</v>
      </c>
      <c r="C54" s="850" t="s">
        <v>637</v>
      </c>
      <c r="D54" s="851">
        <v>480.5</v>
      </c>
      <c r="E54" s="850" t="s">
        <v>368</v>
      </c>
      <c r="F54" s="37" t="s">
        <v>20</v>
      </c>
      <c r="G54" s="3">
        <v>1454.2349999999999</v>
      </c>
      <c r="H54" s="847" t="s">
        <v>112</v>
      </c>
      <c r="I54" s="159"/>
    </row>
    <row r="55" spans="1:14" ht="15.6" customHeight="1">
      <c r="A55" s="848"/>
      <c r="B55" s="884"/>
      <c r="C55" s="850"/>
      <c r="D55" s="851"/>
      <c r="E55" s="850"/>
      <c r="F55" s="38" t="s">
        <v>24</v>
      </c>
      <c r="G55" s="9">
        <v>0</v>
      </c>
      <c r="H55" s="847"/>
      <c r="I55" s="159"/>
    </row>
    <row r="56" spans="1:14" ht="13.2" customHeight="1">
      <c r="A56" s="848"/>
      <c r="B56" s="884"/>
      <c r="C56" s="850"/>
      <c r="D56" s="851"/>
      <c r="E56" s="850"/>
      <c r="F56" s="38" t="s">
        <v>10</v>
      </c>
      <c r="G56" s="9">
        <v>1308.8115</v>
      </c>
      <c r="H56" s="847"/>
      <c r="I56" s="159"/>
    </row>
    <row r="57" spans="1:14" ht="16.2" customHeight="1">
      <c r="A57" s="848"/>
      <c r="B57" s="884"/>
      <c r="C57" s="850"/>
      <c r="D57" s="851"/>
      <c r="E57" s="850"/>
      <c r="F57" s="38" t="s">
        <v>11</v>
      </c>
      <c r="G57" s="9">
        <f>G54-G56</f>
        <v>145.42349999999988</v>
      </c>
      <c r="H57" s="847"/>
      <c r="I57" s="159"/>
      <c r="J57" s="17"/>
      <c r="K57" s="17"/>
    </row>
    <row r="58" spans="1:14" ht="19.2" customHeight="1">
      <c r="A58" s="848" t="s">
        <v>399</v>
      </c>
      <c r="B58" s="884" t="s">
        <v>455</v>
      </c>
      <c r="C58" s="850" t="s">
        <v>190</v>
      </c>
      <c r="D58" s="851">
        <v>23</v>
      </c>
      <c r="E58" s="850" t="s">
        <v>368</v>
      </c>
      <c r="F58" s="37" t="s">
        <v>20</v>
      </c>
      <c r="G58" s="3">
        <v>402.96300000000002</v>
      </c>
      <c r="H58" s="847" t="s">
        <v>112</v>
      </c>
      <c r="I58" s="159"/>
    </row>
    <row r="59" spans="1:14" ht="15.6" customHeight="1">
      <c r="A59" s="848"/>
      <c r="B59" s="884"/>
      <c r="C59" s="850"/>
      <c r="D59" s="851"/>
      <c r="E59" s="850"/>
      <c r="F59" s="38" t="s">
        <v>24</v>
      </c>
      <c r="G59" s="9">
        <v>0</v>
      </c>
      <c r="H59" s="847"/>
      <c r="I59" s="159"/>
    </row>
    <row r="60" spans="1:14" ht="13.2" customHeight="1">
      <c r="A60" s="848"/>
      <c r="B60" s="884"/>
      <c r="C60" s="850"/>
      <c r="D60" s="851"/>
      <c r="E60" s="850"/>
      <c r="F60" s="38" t="s">
        <v>10</v>
      </c>
      <c r="G60" s="9">
        <v>304.99939999999998</v>
      </c>
      <c r="H60" s="847"/>
      <c r="I60" s="159"/>
    </row>
    <row r="61" spans="1:14" ht="16.2" customHeight="1">
      <c r="A61" s="848"/>
      <c r="B61" s="884"/>
      <c r="C61" s="850"/>
      <c r="D61" s="851"/>
      <c r="E61" s="850"/>
      <c r="F61" s="38" t="s">
        <v>11</v>
      </c>
      <c r="G61" s="9">
        <f>G58-G60</f>
        <v>97.963600000000042</v>
      </c>
      <c r="H61" s="847"/>
      <c r="I61" s="159"/>
      <c r="J61" s="17"/>
      <c r="K61" s="17"/>
    </row>
    <row r="62" spans="1:14" ht="19.2" customHeight="1">
      <c r="A62" s="863" t="s">
        <v>88</v>
      </c>
      <c r="B62" s="885" t="s">
        <v>582</v>
      </c>
      <c r="C62" s="850" t="s">
        <v>9</v>
      </c>
      <c r="D62" s="864" t="s">
        <v>9</v>
      </c>
      <c r="E62" s="850" t="s">
        <v>368</v>
      </c>
      <c r="F62" s="37" t="s">
        <v>20</v>
      </c>
      <c r="G62" s="204">
        <f>G63+G64+G65</f>
        <v>54000</v>
      </c>
      <c r="H62" s="855" t="s">
        <v>9</v>
      </c>
      <c r="I62" s="200"/>
      <c r="J62" s="18"/>
      <c r="K62" s="18"/>
    </row>
    <row r="63" spans="1:14" ht="19.2" customHeight="1">
      <c r="A63" s="863"/>
      <c r="B63" s="886"/>
      <c r="C63" s="850"/>
      <c r="D63" s="865"/>
      <c r="E63" s="850"/>
      <c r="F63" s="38" t="s">
        <v>24</v>
      </c>
      <c r="G63" s="205">
        <f>G67+G99</f>
        <v>54000</v>
      </c>
      <c r="H63" s="856"/>
      <c r="I63" s="18"/>
      <c r="J63" s="18"/>
      <c r="K63" s="18"/>
    </row>
    <row r="64" spans="1:14" ht="19.2" customHeight="1">
      <c r="A64" s="863"/>
      <c r="B64" s="886"/>
      <c r="C64" s="850"/>
      <c r="D64" s="865"/>
      <c r="E64" s="850"/>
      <c r="F64" s="38" t="s">
        <v>10</v>
      </c>
      <c r="G64" s="205">
        <f>G68+G100</f>
        <v>0</v>
      </c>
      <c r="H64" s="856"/>
      <c r="I64" s="18"/>
      <c r="J64" s="18"/>
      <c r="K64" s="18"/>
    </row>
    <row r="65" spans="1:14" ht="19.2" customHeight="1">
      <c r="A65" s="863"/>
      <c r="B65" s="887"/>
      <c r="C65" s="850"/>
      <c r="D65" s="866"/>
      <c r="E65" s="850"/>
      <c r="F65" s="38" t="s">
        <v>11</v>
      </c>
      <c r="G65" s="205">
        <f>G69+G101</f>
        <v>0</v>
      </c>
      <c r="H65" s="857"/>
      <c r="I65" s="201"/>
    </row>
    <row r="66" spans="1:14" ht="19.2" customHeight="1">
      <c r="A66" s="875" t="s">
        <v>494</v>
      </c>
      <c r="B66" s="876" t="s">
        <v>493</v>
      </c>
      <c r="C66" s="850"/>
      <c r="D66" s="881"/>
      <c r="E66" s="850" t="s">
        <v>368</v>
      </c>
      <c r="F66" s="37" t="s">
        <v>20</v>
      </c>
      <c r="G66" s="3">
        <f>G67</f>
        <v>54000</v>
      </c>
      <c r="H66" s="847" t="s">
        <v>85</v>
      </c>
      <c r="I66" s="197"/>
    </row>
    <row r="67" spans="1:14" ht="19.2" customHeight="1">
      <c r="A67" s="875"/>
      <c r="B67" s="876"/>
      <c r="C67" s="850"/>
      <c r="D67" s="882"/>
      <c r="E67" s="850"/>
      <c r="F67" s="38" t="s">
        <v>24</v>
      </c>
      <c r="G67" s="19">
        <v>54000</v>
      </c>
      <c r="H67" s="847"/>
      <c r="I67" s="197"/>
      <c r="J67" s="18"/>
      <c r="K67" s="18"/>
    </row>
    <row r="68" spans="1:14" ht="19.2" customHeight="1">
      <c r="A68" s="875"/>
      <c r="B68" s="876"/>
      <c r="C68" s="850"/>
      <c r="D68" s="882"/>
      <c r="E68" s="850"/>
      <c r="F68" s="39" t="s">
        <v>10</v>
      </c>
      <c r="G68" s="19"/>
      <c r="H68" s="847"/>
      <c r="I68" s="197"/>
      <c r="J68" s="18"/>
      <c r="K68" s="18"/>
    </row>
    <row r="69" spans="1:14" ht="19.2" customHeight="1">
      <c r="A69" s="875"/>
      <c r="B69" s="876"/>
      <c r="C69" s="850"/>
      <c r="D69" s="883"/>
      <c r="E69" s="850"/>
      <c r="F69" s="39" t="s">
        <v>11</v>
      </c>
      <c r="G69" s="19"/>
      <c r="H69" s="847"/>
      <c r="I69" s="197"/>
    </row>
    <row r="70" spans="1:14" ht="24.6" customHeight="1">
      <c r="A70" s="867" t="s">
        <v>495</v>
      </c>
      <c r="B70" s="868" t="s">
        <v>622</v>
      </c>
      <c r="C70" s="850" t="s">
        <v>190</v>
      </c>
      <c r="D70" s="881">
        <v>1</v>
      </c>
      <c r="E70" s="850" t="s">
        <v>368</v>
      </c>
      <c r="F70" s="37" t="s">
        <v>20</v>
      </c>
      <c r="G70" s="3">
        <f>G71+G72+G73</f>
        <v>2245</v>
      </c>
      <c r="H70" s="847" t="s">
        <v>85</v>
      </c>
      <c r="I70" s="197"/>
      <c r="N70" s="394">
        <f>G71+G74</f>
        <v>2666.05</v>
      </c>
    </row>
    <row r="71" spans="1:14" ht="22.2" customHeight="1">
      <c r="A71" s="867"/>
      <c r="B71" s="868"/>
      <c r="C71" s="850"/>
      <c r="D71" s="882"/>
      <c r="E71" s="850"/>
      <c r="F71" s="38" t="s">
        <v>24</v>
      </c>
      <c r="G71" s="5">
        <v>2245</v>
      </c>
      <c r="H71" s="847"/>
      <c r="I71" s="199"/>
      <c r="J71" s="202"/>
      <c r="K71" s="202"/>
    </row>
    <row r="72" spans="1:14" ht="19.2" customHeight="1">
      <c r="A72" s="867"/>
      <c r="B72" s="868"/>
      <c r="C72" s="850"/>
      <c r="D72" s="882"/>
      <c r="E72" s="850"/>
      <c r="F72" s="39" t="s">
        <v>10</v>
      </c>
      <c r="G72" s="19"/>
      <c r="H72" s="847"/>
      <c r="I72" s="199"/>
      <c r="J72" s="202"/>
      <c r="K72" s="202"/>
    </row>
    <row r="73" spans="1:14" ht="19.2" customHeight="1">
      <c r="A73" s="867"/>
      <c r="B73" s="868"/>
      <c r="C73" s="850"/>
      <c r="D73" s="883"/>
      <c r="E73" s="850"/>
      <c r="F73" s="39" t="s">
        <v>11</v>
      </c>
      <c r="G73" s="5"/>
      <c r="H73" s="847"/>
      <c r="I73" s="199"/>
      <c r="J73" s="202"/>
      <c r="K73" s="202"/>
    </row>
    <row r="74" spans="1:14" ht="21.6" customHeight="1">
      <c r="A74" s="867" t="s">
        <v>496</v>
      </c>
      <c r="B74" s="868" t="s">
        <v>621</v>
      </c>
      <c r="C74" s="850" t="s">
        <v>190</v>
      </c>
      <c r="D74" s="881">
        <v>1</v>
      </c>
      <c r="E74" s="850" t="s">
        <v>368</v>
      </c>
      <c r="F74" s="37" t="s">
        <v>20</v>
      </c>
      <c r="G74" s="3">
        <f>G75+G76+G77</f>
        <v>421.05</v>
      </c>
      <c r="H74" s="847" t="s">
        <v>85</v>
      </c>
      <c r="I74" s="197"/>
    </row>
    <row r="75" spans="1:14" ht="19.2" customHeight="1">
      <c r="A75" s="867"/>
      <c r="B75" s="868"/>
      <c r="C75" s="850"/>
      <c r="D75" s="882"/>
      <c r="E75" s="850"/>
      <c r="F75" s="38" t="s">
        <v>24</v>
      </c>
      <c r="G75" s="5">
        <v>421.05</v>
      </c>
      <c r="H75" s="847"/>
      <c r="I75" s="199"/>
      <c r="J75" s="202"/>
      <c r="K75" s="202"/>
    </row>
    <row r="76" spans="1:14" ht="19.2" customHeight="1">
      <c r="A76" s="867"/>
      <c r="B76" s="868"/>
      <c r="C76" s="850"/>
      <c r="D76" s="882"/>
      <c r="E76" s="850"/>
      <c r="F76" s="39" t="s">
        <v>10</v>
      </c>
      <c r="G76" s="19"/>
      <c r="H76" s="847"/>
      <c r="I76" s="199"/>
      <c r="J76" s="202"/>
      <c r="K76" s="202"/>
    </row>
    <row r="77" spans="1:14" ht="19.2" customHeight="1">
      <c r="A77" s="867"/>
      <c r="B77" s="868"/>
      <c r="C77" s="850"/>
      <c r="D77" s="883"/>
      <c r="E77" s="850"/>
      <c r="F77" s="39" t="s">
        <v>11</v>
      </c>
      <c r="G77" s="5"/>
      <c r="H77" s="847"/>
      <c r="I77" s="199"/>
      <c r="J77" s="202"/>
      <c r="K77" s="202"/>
    </row>
    <row r="78" spans="1:14" ht="21.6" customHeight="1">
      <c r="A78" s="867" t="s">
        <v>497</v>
      </c>
      <c r="B78" s="868" t="s">
        <v>620</v>
      </c>
      <c r="C78" s="850" t="s">
        <v>190</v>
      </c>
      <c r="D78" s="881">
        <v>1</v>
      </c>
      <c r="E78" s="850" t="s">
        <v>368</v>
      </c>
      <c r="F78" s="37" t="s">
        <v>20</v>
      </c>
      <c r="G78" s="3">
        <f>G79+G80+G81</f>
        <v>903.31</v>
      </c>
      <c r="H78" s="847" t="s">
        <v>85</v>
      </c>
      <c r="I78" s="197"/>
    </row>
    <row r="79" spans="1:14" ht="19.2" customHeight="1">
      <c r="A79" s="867"/>
      <c r="B79" s="868"/>
      <c r="C79" s="850"/>
      <c r="D79" s="882"/>
      <c r="E79" s="850"/>
      <c r="F79" s="38" t="s">
        <v>24</v>
      </c>
      <c r="G79" s="5">
        <v>903.31</v>
      </c>
      <c r="H79" s="847"/>
      <c r="I79" s="199"/>
      <c r="J79" s="202"/>
      <c r="K79" s="202"/>
    </row>
    <row r="80" spans="1:14" ht="19.2" customHeight="1">
      <c r="A80" s="867"/>
      <c r="B80" s="868"/>
      <c r="C80" s="850"/>
      <c r="D80" s="882"/>
      <c r="E80" s="850"/>
      <c r="F80" s="39" t="s">
        <v>10</v>
      </c>
      <c r="G80" s="19"/>
      <c r="H80" s="847"/>
      <c r="I80" s="199"/>
      <c r="J80" s="202"/>
      <c r="K80" s="202"/>
    </row>
    <row r="81" spans="1:11" ht="19.2" customHeight="1">
      <c r="A81" s="867"/>
      <c r="B81" s="868"/>
      <c r="C81" s="850"/>
      <c r="D81" s="883"/>
      <c r="E81" s="850"/>
      <c r="F81" s="39" t="s">
        <v>11</v>
      </c>
      <c r="G81" s="5"/>
      <c r="H81" s="847"/>
      <c r="I81" s="199"/>
      <c r="J81" s="202"/>
      <c r="K81" s="202"/>
    </row>
    <row r="82" spans="1:11" ht="21.6" customHeight="1">
      <c r="A82" s="867" t="s">
        <v>616</v>
      </c>
      <c r="B82" s="868" t="s">
        <v>618</v>
      </c>
      <c r="C82" s="850" t="s">
        <v>190</v>
      </c>
      <c r="D82" s="881">
        <v>1</v>
      </c>
      <c r="E82" s="850" t="s">
        <v>368</v>
      </c>
      <c r="F82" s="37" t="s">
        <v>20</v>
      </c>
      <c r="G82" s="3">
        <f>G83+G84+G85</f>
        <v>77.91</v>
      </c>
      <c r="H82" s="847" t="s">
        <v>85</v>
      </c>
      <c r="I82" s="197"/>
    </row>
    <row r="83" spans="1:11" ht="19.2" customHeight="1">
      <c r="A83" s="867"/>
      <c r="B83" s="868"/>
      <c r="C83" s="850"/>
      <c r="D83" s="882"/>
      <c r="E83" s="850"/>
      <c r="F83" s="38" t="s">
        <v>24</v>
      </c>
      <c r="G83" s="5">
        <v>77.91</v>
      </c>
      <c r="H83" s="847"/>
      <c r="I83" s="199"/>
      <c r="J83" s="202"/>
      <c r="K83" s="202"/>
    </row>
    <row r="84" spans="1:11" ht="19.2" customHeight="1">
      <c r="A84" s="867"/>
      <c r="B84" s="868"/>
      <c r="C84" s="850"/>
      <c r="D84" s="882"/>
      <c r="E84" s="850"/>
      <c r="F84" s="39" t="s">
        <v>10</v>
      </c>
      <c r="G84" s="19"/>
      <c r="H84" s="847"/>
      <c r="I84" s="199"/>
      <c r="J84" s="202"/>
      <c r="K84" s="202"/>
    </row>
    <row r="85" spans="1:11" ht="19.2" customHeight="1">
      <c r="A85" s="867"/>
      <c r="B85" s="868"/>
      <c r="C85" s="850"/>
      <c r="D85" s="883"/>
      <c r="E85" s="850"/>
      <c r="F85" s="39" t="s">
        <v>11</v>
      </c>
      <c r="G85" s="5"/>
      <c r="H85" s="847"/>
      <c r="I85" s="199"/>
      <c r="J85" s="202"/>
      <c r="K85" s="202"/>
    </row>
    <row r="86" spans="1:11" ht="21.6" customHeight="1">
      <c r="A86" s="867" t="s">
        <v>617</v>
      </c>
      <c r="B86" s="868" t="s">
        <v>619</v>
      </c>
      <c r="C86" s="850" t="s">
        <v>190</v>
      </c>
      <c r="D86" s="881">
        <v>1</v>
      </c>
      <c r="E86" s="850" t="s">
        <v>517</v>
      </c>
      <c r="F86" s="37" t="s">
        <v>20</v>
      </c>
      <c r="G86" s="3">
        <f>G87+G88+G89</f>
        <v>50352.729999999996</v>
      </c>
      <c r="H86" s="847" t="s">
        <v>85</v>
      </c>
      <c r="I86" s="197"/>
    </row>
    <row r="87" spans="1:11" ht="19.2" customHeight="1">
      <c r="A87" s="867"/>
      <c r="B87" s="868"/>
      <c r="C87" s="850"/>
      <c r="D87" s="882"/>
      <c r="E87" s="850"/>
      <c r="F87" s="38" t="s">
        <v>24</v>
      </c>
      <c r="G87" s="19">
        <f>G63-G71-G75-G79-G83</f>
        <v>50352.729999999996</v>
      </c>
      <c r="H87" s="847"/>
      <c r="I87" s="199"/>
      <c r="J87" s="202"/>
      <c r="K87" s="202"/>
    </row>
    <row r="88" spans="1:11" ht="19.2" customHeight="1">
      <c r="A88" s="867"/>
      <c r="B88" s="868"/>
      <c r="C88" s="850"/>
      <c r="D88" s="882"/>
      <c r="E88" s="850"/>
      <c r="F88" s="39" t="s">
        <v>10</v>
      </c>
      <c r="G88" s="19"/>
      <c r="H88" s="847"/>
      <c r="I88" s="199"/>
      <c r="J88" s="202"/>
      <c r="K88" s="202"/>
    </row>
    <row r="89" spans="1:11" ht="19.2" customHeight="1">
      <c r="A89" s="867"/>
      <c r="B89" s="868"/>
      <c r="C89" s="850"/>
      <c r="D89" s="883"/>
      <c r="E89" s="850"/>
      <c r="F89" s="39" t="s">
        <v>11</v>
      </c>
      <c r="G89" s="5"/>
      <c r="H89" s="847"/>
      <c r="I89" s="199"/>
      <c r="J89" s="202"/>
      <c r="K89" s="202"/>
    </row>
    <row r="90" spans="1:11">
      <c r="F90" s="20"/>
      <c r="G90" s="20"/>
    </row>
    <row r="91" spans="1:11">
      <c r="F91" s="20"/>
      <c r="G91" s="20"/>
    </row>
    <row r="92" spans="1:11">
      <c r="F92" s="20"/>
      <c r="G92" s="20"/>
    </row>
    <row r="93" spans="1:11">
      <c r="F93" s="20"/>
      <c r="G93" s="20"/>
    </row>
    <row r="94" spans="1:11">
      <c r="F94" s="20"/>
      <c r="G94" s="20"/>
    </row>
    <row r="95" spans="1:11">
      <c r="F95" s="20"/>
      <c r="G95" s="20"/>
    </row>
    <row r="96" spans="1:11">
      <c r="F96" s="20"/>
      <c r="G96" s="20"/>
    </row>
    <row r="97" spans="6:7">
      <c r="F97" s="20"/>
      <c r="G97" s="20"/>
    </row>
    <row r="98" spans="6:7">
      <c r="F98" s="20"/>
      <c r="G98" s="20"/>
    </row>
    <row r="99" spans="6:7">
      <c r="F99" s="20"/>
      <c r="G99" s="20"/>
    </row>
    <row r="100" spans="6:7">
      <c r="F100" s="20"/>
      <c r="G100" s="20"/>
    </row>
    <row r="101" spans="6:7">
      <c r="F101" s="20"/>
      <c r="G101" s="20"/>
    </row>
    <row r="102" spans="6:7">
      <c r="F102" s="20"/>
      <c r="G102" s="20"/>
    </row>
    <row r="103" spans="6:7">
      <c r="F103" s="20"/>
      <c r="G103" s="20"/>
    </row>
    <row r="104" spans="6:7">
      <c r="F104" s="20"/>
      <c r="G104" s="20"/>
    </row>
    <row r="105" spans="6:7">
      <c r="F105" s="20"/>
      <c r="G105" s="20"/>
    </row>
    <row r="106" spans="6:7">
      <c r="F106" s="20"/>
      <c r="G106" s="20"/>
    </row>
    <row r="107" spans="6:7">
      <c r="F107" s="20"/>
      <c r="G107" s="20"/>
    </row>
    <row r="108" spans="6:7">
      <c r="F108" s="20"/>
      <c r="G108" s="20"/>
    </row>
    <row r="109" spans="6:7">
      <c r="F109" s="20"/>
      <c r="G109" s="20"/>
    </row>
    <row r="110" spans="6:7">
      <c r="F110" s="20"/>
      <c r="G110" s="20"/>
    </row>
    <row r="111" spans="6:7">
      <c r="F111" s="20"/>
      <c r="G111" s="20"/>
    </row>
    <row r="112" spans="6:7">
      <c r="F112" s="20"/>
      <c r="G112" s="20"/>
    </row>
    <row r="113" spans="6:7">
      <c r="F113" s="20"/>
      <c r="G113" s="20"/>
    </row>
    <row r="114" spans="6:7">
      <c r="F114" s="20"/>
      <c r="G114" s="20"/>
    </row>
    <row r="115" spans="6:7">
      <c r="F115" s="20"/>
      <c r="G115" s="20"/>
    </row>
    <row r="116" spans="6:7">
      <c r="F116" s="20"/>
      <c r="G116" s="20"/>
    </row>
    <row r="117" spans="6:7">
      <c r="F117" s="20"/>
      <c r="G117" s="20"/>
    </row>
    <row r="118" spans="6:7">
      <c r="F118" s="20"/>
      <c r="G118" s="20"/>
    </row>
    <row r="119" spans="6:7">
      <c r="F119" s="20"/>
      <c r="G119" s="20"/>
    </row>
    <row r="120" spans="6:7">
      <c r="F120" s="20"/>
      <c r="G120" s="20"/>
    </row>
    <row r="121" spans="6:7">
      <c r="F121" s="20"/>
      <c r="G121" s="20"/>
    </row>
    <row r="122" spans="6:7">
      <c r="F122" s="20"/>
      <c r="G122" s="20"/>
    </row>
    <row r="123" spans="6:7">
      <c r="F123" s="20"/>
      <c r="G123" s="20"/>
    </row>
    <row r="124" spans="6:7">
      <c r="F124" s="20"/>
      <c r="G124" s="20"/>
    </row>
    <row r="125" spans="6:7">
      <c r="F125" s="20"/>
      <c r="G125" s="20"/>
    </row>
    <row r="126" spans="6:7">
      <c r="F126" s="20"/>
      <c r="G126" s="20"/>
    </row>
    <row r="127" spans="6:7">
      <c r="F127" s="20"/>
      <c r="G127" s="20"/>
    </row>
    <row r="128" spans="6:7">
      <c r="F128" s="20"/>
      <c r="G128" s="20"/>
    </row>
    <row r="129" spans="6:7">
      <c r="F129" s="20"/>
      <c r="G129" s="20"/>
    </row>
    <row r="130" spans="6:7">
      <c r="F130" s="20"/>
      <c r="G130" s="20"/>
    </row>
    <row r="131" spans="6:7">
      <c r="F131" s="20"/>
      <c r="G131" s="20"/>
    </row>
    <row r="132" spans="6:7">
      <c r="F132" s="20"/>
      <c r="G132" s="20"/>
    </row>
    <row r="133" spans="6:7">
      <c r="F133" s="20"/>
      <c r="G133" s="20"/>
    </row>
    <row r="134" spans="6:7">
      <c r="F134" s="20"/>
      <c r="G134" s="20"/>
    </row>
    <row r="135" spans="6:7">
      <c r="F135" s="20"/>
      <c r="G135" s="20"/>
    </row>
    <row r="136" spans="6:7">
      <c r="F136" s="20"/>
      <c r="G136" s="20"/>
    </row>
  </sheetData>
  <mergeCells count="136">
    <mergeCell ref="A30:A33"/>
    <mergeCell ref="B30:B33"/>
    <mergeCell ref="C30:C33"/>
    <mergeCell ref="D30:D33"/>
    <mergeCell ref="E30:E33"/>
    <mergeCell ref="A34:A37"/>
    <mergeCell ref="B34:B37"/>
    <mergeCell ref="C34:C37"/>
    <mergeCell ref="E22:E25"/>
    <mergeCell ref="B26:B29"/>
    <mergeCell ref="C26:C29"/>
    <mergeCell ref="D26:D29"/>
    <mergeCell ref="E26:E29"/>
    <mergeCell ref="A26:A29"/>
    <mergeCell ref="H34:H37"/>
    <mergeCell ref="H30:H33"/>
    <mergeCell ref="D50:D53"/>
    <mergeCell ref="E50:E53"/>
    <mergeCell ref="H26:H29"/>
    <mergeCell ref="H38:H41"/>
    <mergeCell ref="B42:B45"/>
    <mergeCell ref="C42:C45"/>
    <mergeCell ref="D42:D45"/>
    <mergeCell ref="E42:E45"/>
    <mergeCell ref="H42:H45"/>
    <mergeCell ref="D34:D37"/>
    <mergeCell ref="E34:E37"/>
    <mergeCell ref="B46:B49"/>
    <mergeCell ref="C46:C49"/>
    <mergeCell ref="D46:D49"/>
    <mergeCell ref="E46:E49"/>
    <mergeCell ref="H46:H49"/>
    <mergeCell ref="D38:D41"/>
    <mergeCell ref="E38:E41"/>
    <mergeCell ref="A10:A13"/>
    <mergeCell ref="B10:B13"/>
    <mergeCell ref="C10:C13"/>
    <mergeCell ref="D10:D13"/>
    <mergeCell ref="E10:E13"/>
    <mergeCell ref="H10:H13"/>
    <mergeCell ref="A14:A17"/>
    <mergeCell ref="B14:B17"/>
    <mergeCell ref="C14:C17"/>
    <mergeCell ref="D14:D17"/>
    <mergeCell ref="E14:E17"/>
    <mergeCell ref="C18:C21"/>
    <mergeCell ref="D18:D21"/>
    <mergeCell ref="E18:E21"/>
    <mergeCell ref="H18:H21"/>
    <mergeCell ref="A22:A25"/>
    <mergeCell ref="B22:B25"/>
    <mergeCell ref="C22:C25"/>
    <mergeCell ref="D22:D25"/>
    <mergeCell ref="H14:H17"/>
    <mergeCell ref="H54:H57"/>
    <mergeCell ref="A50:A53"/>
    <mergeCell ref="B50:B53"/>
    <mergeCell ref="H50:H53"/>
    <mergeCell ref="A46:A49"/>
    <mergeCell ref="H6:H9"/>
    <mergeCell ref="B1:E1"/>
    <mergeCell ref="G1:H1"/>
    <mergeCell ref="A2:H2"/>
    <mergeCell ref="A4:A5"/>
    <mergeCell ref="B4:B5"/>
    <mergeCell ref="C4:D4"/>
    <mergeCell ref="E4:E5"/>
    <mergeCell ref="F4:F5"/>
    <mergeCell ref="G4:G5"/>
    <mergeCell ref="H4:H5"/>
    <mergeCell ref="A6:A9"/>
    <mergeCell ref="B6:B9"/>
    <mergeCell ref="C6:C9"/>
    <mergeCell ref="D6:D9"/>
    <mergeCell ref="E6:E9"/>
    <mergeCell ref="H22:H25"/>
    <mergeCell ref="A18:A21"/>
    <mergeCell ref="B18:B21"/>
    <mergeCell ref="A54:A57"/>
    <mergeCell ref="B54:B57"/>
    <mergeCell ref="C54:C57"/>
    <mergeCell ref="D54:D57"/>
    <mergeCell ref="E54:E57"/>
    <mergeCell ref="C50:C53"/>
    <mergeCell ref="A42:A45"/>
    <mergeCell ref="A38:A41"/>
    <mergeCell ref="B38:B41"/>
    <mergeCell ref="C38:C41"/>
    <mergeCell ref="H70:H73"/>
    <mergeCell ref="A74:A77"/>
    <mergeCell ref="B74:B77"/>
    <mergeCell ref="C74:C77"/>
    <mergeCell ref="D74:D77"/>
    <mergeCell ref="E74:E77"/>
    <mergeCell ref="H58:H61"/>
    <mergeCell ref="A58:A61"/>
    <mergeCell ref="B58:B61"/>
    <mergeCell ref="C58:C61"/>
    <mergeCell ref="D58:D61"/>
    <mergeCell ref="E58:E61"/>
    <mergeCell ref="H62:H65"/>
    <mergeCell ref="A66:A69"/>
    <mergeCell ref="B66:B69"/>
    <mergeCell ref="C66:C69"/>
    <mergeCell ref="D66:D69"/>
    <mergeCell ref="E66:E69"/>
    <mergeCell ref="H66:H69"/>
    <mergeCell ref="A62:A65"/>
    <mergeCell ref="B62:B65"/>
    <mergeCell ref="C62:C65"/>
    <mergeCell ref="D62:D65"/>
    <mergeCell ref="E62:E65"/>
    <mergeCell ref="H86:H89"/>
    <mergeCell ref="A86:A89"/>
    <mergeCell ref="B86:B89"/>
    <mergeCell ref="C86:C89"/>
    <mergeCell ref="D86:D89"/>
    <mergeCell ref="E86:E89"/>
    <mergeCell ref="H74:H77"/>
    <mergeCell ref="A70:A73"/>
    <mergeCell ref="B70:B73"/>
    <mergeCell ref="C70:C73"/>
    <mergeCell ref="D70:D73"/>
    <mergeCell ref="E70:E73"/>
    <mergeCell ref="A82:A85"/>
    <mergeCell ref="B82:B85"/>
    <mergeCell ref="C82:C85"/>
    <mergeCell ref="D82:D85"/>
    <mergeCell ref="E82:E85"/>
    <mergeCell ref="H82:H85"/>
    <mergeCell ref="A78:A81"/>
    <mergeCell ref="B78:B81"/>
    <mergeCell ref="C78:C81"/>
    <mergeCell ref="D78:D81"/>
    <mergeCell ref="E78:E81"/>
    <mergeCell ref="H78:H81"/>
  </mergeCells>
  <pageMargins left="0.78740157480314965" right="0.39370078740157483" top="3.937007874015748E-2" bottom="3.937007874015748E-2" header="0.31496062992125984" footer="0.31496062992125984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5"/>
  <sheetViews>
    <sheetView topLeftCell="A108" zoomScale="90" zoomScaleNormal="90" workbookViewId="0">
      <selection activeCell="A38" sqref="A38:A41"/>
    </sheetView>
  </sheetViews>
  <sheetFormatPr defaultColWidth="8.88671875" defaultRowHeight="13.8"/>
  <cols>
    <col min="1" max="1" width="6.33203125" style="10" customWidth="1"/>
    <col min="2" max="2" width="44.6640625" style="10" customWidth="1"/>
    <col min="3" max="3" width="9.6640625" style="10" customWidth="1"/>
    <col min="4" max="4" width="9.5546875" style="10" customWidth="1"/>
    <col min="5" max="5" width="10.33203125" style="10" customWidth="1"/>
    <col min="6" max="6" width="20" style="10" customWidth="1"/>
    <col min="7" max="7" width="17" style="10" customWidth="1"/>
    <col min="8" max="8" width="19.33203125" style="10" customWidth="1"/>
    <col min="9" max="9" width="15.33203125" style="10" customWidth="1"/>
    <col min="10" max="10" width="15" style="10" customWidth="1"/>
    <col min="11" max="11" width="13.33203125" style="10" customWidth="1"/>
    <col min="12" max="12" width="6.33203125" style="10" customWidth="1"/>
    <col min="13" max="13" width="14" style="10" customWidth="1"/>
    <col min="14" max="14" width="13.33203125" style="195" customWidth="1"/>
    <col min="15" max="15" width="3.44140625" style="10" customWidth="1"/>
    <col min="16" max="16" width="10.6640625" style="10" bestFit="1" customWidth="1"/>
    <col min="17" max="16384" width="8.88671875" style="10"/>
  </cols>
  <sheetData>
    <row r="1" spans="1:15" ht="60.6" customHeight="1">
      <c r="B1" s="869"/>
      <c r="C1" s="869"/>
      <c r="D1" s="869"/>
      <c r="E1" s="869"/>
      <c r="F1" s="409"/>
      <c r="G1" s="906" t="s">
        <v>568</v>
      </c>
      <c r="H1" s="906"/>
      <c r="I1" s="6"/>
    </row>
    <row r="2" spans="1:15" ht="28.95" customHeight="1">
      <c r="A2" s="838" t="s">
        <v>982</v>
      </c>
      <c r="B2" s="838"/>
      <c r="C2" s="838"/>
      <c r="D2" s="838"/>
      <c r="E2" s="838"/>
      <c r="F2" s="838"/>
      <c r="G2" s="838"/>
      <c r="H2" s="838"/>
    </row>
    <row r="3" spans="1:15" ht="23.4" customHeight="1">
      <c r="A3" s="331"/>
      <c r="B3" s="331"/>
      <c r="C3" s="331"/>
      <c r="D3" s="331"/>
      <c r="E3" s="331"/>
      <c r="F3" s="331"/>
      <c r="G3" s="331"/>
      <c r="H3" s="8" t="s">
        <v>22</v>
      </c>
    </row>
    <row r="4" spans="1:15" ht="25.95" customHeight="1">
      <c r="A4" s="870" t="s">
        <v>0</v>
      </c>
      <c r="B4" s="841" t="s">
        <v>6</v>
      </c>
      <c r="C4" s="841" t="s">
        <v>17</v>
      </c>
      <c r="D4" s="841"/>
      <c r="E4" s="841" t="s">
        <v>8</v>
      </c>
      <c r="F4" s="841" t="s">
        <v>19</v>
      </c>
      <c r="G4" s="871" t="s">
        <v>570</v>
      </c>
      <c r="H4" s="841" t="s">
        <v>23</v>
      </c>
    </row>
    <row r="5" spans="1:15" ht="30.6" customHeight="1">
      <c r="A5" s="870"/>
      <c r="B5" s="841"/>
      <c r="C5" s="332" t="s">
        <v>7</v>
      </c>
      <c r="D5" s="332" t="s">
        <v>18</v>
      </c>
      <c r="E5" s="841"/>
      <c r="F5" s="841"/>
      <c r="G5" s="872"/>
      <c r="H5" s="841"/>
      <c r="I5" s="394">
        <f>I17+I29</f>
        <v>13.115500000000001</v>
      </c>
      <c r="J5" s="395"/>
      <c r="K5" s="395"/>
      <c r="L5" s="395"/>
      <c r="M5" s="395"/>
    </row>
    <row r="6" spans="1:15" ht="18" customHeight="1">
      <c r="A6" s="858"/>
      <c r="B6" s="859" t="s">
        <v>569</v>
      </c>
      <c r="C6" s="850" t="s">
        <v>9</v>
      </c>
      <c r="D6" s="850" t="s">
        <v>9</v>
      </c>
      <c r="E6" s="850" t="s">
        <v>9</v>
      </c>
      <c r="F6" s="37" t="s">
        <v>20</v>
      </c>
      <c r="G6" s="4">
        <f>G10+G54</f>
        <v>65338.151290000002</v>
      </c>
      <c r="H6" s="860" t="s">
        <v>9</v>
      </c>
      <c r="I6" s="396">
        <f>I7+I8+I9</f>
        <v>13119.987999999999</v>
      </c>
      <c r="J6" s="397" t="s">
        <v>663</v>
      </c>
      <c r="K6" s="396">
        <f>K7+K8+K9</f>
        <v>13738.856669999999</v>
      </c>
      <c r="L6" s="395"/>
      <c r="M6" s="394"/>
    </row>
    <row r="7" spans="1:15" ht="18" customHeight="1">
      <c r="A7" s="858"/>
      <c r="B7" s="859"/>
      <c r="C7" s="850"/>
      <c r="D7" s="850"/>
      <c r="E7" s="850"/>
      <c r="F7" s="37" t="s">
        <v>24</v>
      </c>
      <c r="G7" s="4">
        <f>G11+G55</f>
        <v>62997.417956862824</v>
      </c>
      <c r="H7" s="861"/>
      <c r="I7" s="394">
        <v>11663.517959999999</v>
      </c>
      <c r="J7" s="395"/>
      <c r="K7" s="394">
        <f>I7+J7</f>
        <v>11663.517959999999</v>
      </c>
      <c r="L7" s="395"/>
      <c r="M7" s="396"/>
    </row>
    <row r="8" spans="1:15" ht="18" customHeight="1">
      <c r="A8" s="858"/>
      <c r="B8" s="849"/>
      <c r="C8" s="850"/>
      <c r="D8" s="850"/>
      <c r="E8" s="850"/>
      <c r="F8" s="37" t="s">
        <v>10</v>
      </c>
      <c r="G8" s="4">
        <f>G12+G56</f>
        <v>1324.0636744000108</v>
      </c>
      <c r="H8" s="861"/>
      <c r="I8" s="394">
        <v>1324.06367</v>
      </c>
      <c r="J8" s="395"/>
      <c r="K8" s="394">
        <f>I8+J8</f>
        <v>1324.06367</v>
      </c>
      <c r="L8" s="395"/>
      <c r="M8" s="395"/>
    </row>
    <row r="9" spans="1:15" ht="18" customHeight="1">
      <c r="A9" s="858"/>
      <c r="B9" s="849"/>
      <c r="C9" s="850"/>
      <c r="D9" s="850"/>
      <c r="E9" s="850"/>
      <c r="F9" s="37" t="s">
        <v>11</v>
      </c>
      <c r="G9" s="4">
        <f>G13+G57</f>
        <v>1016.6696587371655</v>
      </c>
      <c r="H9" s="862"/>
      <c r="I9" s="395">
        <v>132.40637000000001</v>
      </c>
      <c r="J9" s="397">
        <f>500+118.86867</f>
        <v>618.86866999999995</v>
      </c>
      <c r="K9" s="394">
        <f>I9+J9</f>
        <v>751.27503999999999</v>
      </c>
      <c r="L9" s="395"/>
      <c r="M9" s="394">
        <f>K9+G54</f>
        <v>52339.781330000005</v>
      </c>
    </row>
    <row r="10" spans="1:15" ht="18" customHeight="1">
      <c r="A10" s="863" t="s">
        <v>3</v>
      </c>
      <c r="B10" s="859" t="s">
        <v>656</v>
      </c>
      <c r="C10" s="850" t="s">
        <v>9</v>
      </c>
      <c r="D10" s="864" t="s">
        <v>9</v>
      </c>
      <c r="E10" s="850" t="s">
        <v>517</v>
      </c>
      <c r="F10" s="37" t="s">
        <v>20</v>
      </c>
      <c r="G10" s="204">
        <f>G11+G12+G13</f>
        <v>13749.644999999999</v>
      </c>
      <c r="H10" s="855" t="s">
        <v>9</v>
      </c>
      <c r="I10" s="396">
        <f>I11+I12+I13</f>
        <v>13119.987999999999</v>
      </c>
      <c r="J10" s="395"/>
      <c r="K10" s="395"/>
      <c r="L10" s="395"/>
      <c r="M10" s="395"/>
    </row>
    <row r="11" spans="1:15" ht="18" customHeight="1">
      <c r="A11" s="863"/>
      <c r="B11" s="859"/>
      <c r="C11" s="850"/>
      <c r="D11" s="865"/>
      <c r="E11" s="850"/>
      <c r="F11" s="38" t="s">
        <v>24</v>
      </c>
      <c r="G11" s="205">
        <f>G15+G27</f>
        <v>11663.517956862823</v>
      </c>
      <c r="H11" s="856"/>
      <c r="I11" s="394">
        <v>11663.517959999999</v>
      </c>
      <c r="J11" s="398">
        <f>I11/I10</f>
        <v>0.88898846248944741</v>
      </c>
      <c r="K11" s="395"/>
      <c r="L11" s="395"/>
      <c r="M11" s="395"/>
    </row>
    <row r="12" spans="1:15" ht="18" customHeight="1">
      <c r="A12" s="863"/>
      <c r="B12" s="859"/>
      <c r="C12" s="850"/>
      <c r="D12" s="865"/>
      <c r="E12" s="850"/>
      <c r="F12" s="38" t="s">
        <v>10</v>
      </c>
      <c r="G12" s="205">
        <f>G16+G28</f>
        <v>1324.0636744000108</v>
      </c>
      <c r="H12" s="856"/>
      <c r="I12" s="394">
        <v>1324.06367</v>
      </c>
      <c r="J12" s="398">
        <f>I12/I10</f>
        <v>0.10091957934717624</v>
      </c>
      <c r="K12" s="395"/>
      <c r="L12" s="395"/>
      <c r="M12" s="395"/>
      <c r="N12" s="333"/>
      <c r="O12" s="241"/>
    </row>
    <row r="13" spans="1:15" ht="18" customHeight="1">
      <c r="A13" s="863"/>
      <c r="B13" s="859"/>
      <c r="C13" s="850"/>
      <c r="D13" s="866"/>
      <c r="E13" s="850"/>
      <c r="F13" s="38" t="s">
        <v>11</v>
      </c>
      <c r="G13" s="205">
        <f>G17+G29</f>
        <v>762.06336873716543</v>
      </c>
      <c r="H13" s="857"/>
      <c r="I13" s="395">
        <v>132.40637000000001</v>
      </c>
      <c r="J13" s="398">
        <f>I13/I10</f>
        <v>1.009195816337637E-2</v>
      </c>
      <c r="K13" s="395"/>
      <c r="L13" s="395"/>
      <c r="M13" s="395"/>
    </row>
    <row r="14" spans="1:15" ht="16.95" customHeight="1">
      <c r="A14" s="875" t="s">
        <v>25</v>
      </c>
      <c r="B14" s="876" t="s">
        <v>407</v>
      </c>
      <c r="C14" s="850" t="s">
        <v>27</v>
      </c>
      <c r="D14" s="881">
        <f>D18+D22</f>
        <v>2460.5</v>
      </c>
      <c r="E14" s="850" t="s">
        <v>517</v>
      </c>
      <c r="F14" s="37" t="s">
        <v>20</v>
      </c>
      <c r="G14" s="3">
        <f>G15+G16+G17</f>
        <v>6609.5020000000004</v>
      </c>
      <c r="H14" s="847" t="s">
        <v>84</v>
      </c>
      <c r="I14" s="396"/>
      <c r="J14" s="395"/>
      <c r="K14" s="396">
        <f>K6-G26</f>
        <v>6598.7136699999992</v>
      </c>
      <c r="L14" s="395"/>
      <c r="M14" s="395">
        <v>6609.5016699999996</v>
      </c>
    </row>
    <row r="15" spans="1:15" ht="16.95" customHeight="1">
      <c r="A15" s="875"/>
      <c r="B15" s="876"/>
      <c r="C15" s="850"/>
      <c r="D15" s="882"/>
      <c r="E15" s="850"/>
      <c r="F15" s="38" t="s">
        <v>24</v>
      </c>
      <c r="G15" s="213">
        <f>G19+G23</f>
        <v>5325.6036168628234</v>
      </c>
      <c r="H15" s="847"/>
      <c r="I15" s="394"/>
      <c r="J15" s="395"/>
      <c r="K15" s="396">
        <f>K7-G27</f>
        <v>5325.603619999999</v>
      </c>
      <c r="L15" s="395"/>
      <c r="M15" s="395">
        <f>K14*J11</f>
        <v>5866.1803199013984</v>
      </c>
    </row>
    <row r="16" spans="1:15" ht="16.95" customHeight="1">
      <c r="A16" s="875"/>
      <c r="B16" s="876"/>
      <c r="C16" s="850"/>
      <c r="D16" s="882"/>
      <c r="E16" s="850"/>
      <c r="F16" s="39" t="s">
        <v>10</v>
      </c>
      <c r="G16" s="213">
        <f>G20+G24</f>
        <v>604.57216440001093</v>
      </c>
      <c r="H16" s="847"/>
      <c r="I16" s="399" t="s">
        <v>664</v>
      </c>
      <c r="J16" s="397" t="s">
        <v>663</v>
      </c>
      <c r="K16" s="396">
        <f>K8-G28</f>
        <v>604.57216000000005</v>
      </c>
      <c r="L16" s="395"/>
      <c r="M16" s="395">
        <f>G14*J12</f>
        <v>667.02816153432013</v>
      </c>
      <c r="N16" s="333"/>
      <c r="O16" s="241"/>
    </row>
    <row r="17" spans="1:19" ht="16.95" customHeight="1">
      <c r="A17" s="875"/>
      <c r="B17" s="876"/>
      <c r="C17" s="850"/>
      <c r="D17" s="883"/>
      <c r="E17" s="850"/>
      <c r="F17" s="39" t="s">
        <v>11</v>
      </c>
      <c r="G17" s="213">
        <f>G21+G25</f>
        <v>679.32621873716562</v>
      </c>
      <c r="H17" s="847"/>
      <c r="I17" s="400">
        <f>I21+I25</f>
        <v>13.115500000000001</v>
      </c>
      <c r="J17" s="401">
        <f>K17-I17</f>
        <v>655.42239000000018</v>
      </c>
      <c r="K17" s="396">
        <f>K9-G29</f>
        <v>668.53789000000017</v>
      </c>
      <c r="L17" s="395"/>
      <c r="M17" s="396">
        <f>M14-M15-M16</f>
        <v>76.293188564281081</v>
      </c>
      <c r="N17" s="334"/>
      <c r="O17" s="181"/>
      <c r="P17" s="246"/>
    </row>
    <row r="18" spans="1:19" ht="16.95" customHeight="1">
      <c r="A18" s="867" t="s">
        <v>12</v>
      </c>
      <c r="B18" s="868" t="s">
        <v>638</v>
      </c>
      <c r="C18" s="850" t="s">
        <v>27</v>
      </c>
      <c r="D18" s="881">
        <v>487.5</v>
      </c>
      <c r="E18" s="850" t="s">
        <v>517</v>
      </c>
      <c r="F18" s="37" t="s">
        <v>20</v>
      </c>
      <c r="G18" s="3">
        <v>1299.5989999999999</v>
      </c>
      <c r="H18" s="847" t="s">
        <v>84</v>
      </c>
      <c r="I18" s="397"/>
      <c r="J18" s="397"/>
      <c r="K18" s="395"/>
      <c r="L18" s="395"/>
      <c r="M18" s="395"/>
    </row>
    <row r="19" spans="1:19" ht="16.95" customHeight="1">
      <c r="A19" s="867"/>
      <c r="B19" s="868"/>
      <c r="C19" s="850"/>
      <c r="D19" s="882"/>
      <c r="E19" s="850"/>
      <c r="F19" s="38" t="s">
        <v>24</v>
      </c>
      <c r="G19" s="213">
        <f>G18*J11</f>
        <v>1155.3285168628233</v>
      </c>
      <c r="H19" s="847"/>
      <c r="I19" s="402"/>
      <c r="J19" s="397"/>
      <c r="K19" s="395"/>
      <c r="L19" s="395"/>
      <c r="M19" s="395"/>
    </row>
    <row r="20" spans="1:19" ht="16.95" customHeight="1">
      <c r="A20" s="867"/>
      <c r="B20" s="868"/>
      <c r="C20" s="850"/>
      <c r="D20" s="882"/>
      <c r="E20" s="850"/>
      <c r="F20" s="39" t="s">
        <v>10</v>
      </c>
      <c r="G20" s="213">
        <f>G18*J12</f>
        <v>131.1549844000109</v>
      </c>
      <c r="H20" s="847"/>
      <c r="I20" s="402"/>
      <c r="J20" s="397"/>
      <c r="K20" s="394"/>
      <c r="L20" s="395"/>
      <c r="M20" s="395"/>
    </row>
    <row r="21" spans="1:19" ht="16.95" customHeight="1">
      <c r="A21" s="867"/>
      <c r="B21" s="868"/>
      <c r="C21" s="850"/>
      <c r="D21" s="883"/>
      <c r="E21" s="850"/>
      <c r="F21" s="39" t="s">
        <v>11</v>
      </c>
      <c r="G21" s="5">
        <f>G18-G19-G20</f>
        <v>13.115498737165694</v>
      </c>
      <c r="H21" s="847"/>
      <c r="I21" s="401">
        <v>13.115500000000001</v>
      </c>
      <c r="J21" s="397">
        <v>0</v>
      </c>
      <c r="K21" s="395"/>
      <c r="L21" s="395"/>
      <c r="M21" s="395"/>
    </row>
    <row r="22" spans="1:19" ht="16.95" customHeight="1">
      <c r="A22" s="867" t="s">
        <v>518</v>
      </c>
      <c r="B22" s="868" t="s">
        <v>639</v>
      </c>
      <c r="C22" s="850" t="s">
        <v>27</v>
      </c>
      <c r="D22" s="881">
        <v>1973</v>
      </c>
      <c r="E22" s="850" t="s">
        <v>517</v>
      </c>
      <c r="F22" s="37" t="s">
        <v>20</v>
      </c>
      <c r="G22" s="3">
        <f>G23+G24+G25</f>
        <v>5309.9030000000002</v>
      </c>
      <c r="H22" s="847" t="s">
        <v>84</v>
      </c>
      <c r="I22" s="401"/>
      <c r="J22" s="397"/>
      <c r="K22" s="395"/>
      <c r="L22" s="395"/>
      <c r="M22" s="395"/>
      <c r="P22" s="355"/>
      <c r="Q22" s="356"/>
      <c r="R22" s="355"/>
      <c r="S22" s="355"/>
    </row>
    <row r="23" spans="1:19" ht="16.95" customHeight="1">
      <c r="A23" s="867"/>
      <c r="B23" s="868"/>
      <c r="C23" s="850"/>
      <c r="D23" s="882"/>
      <c r="E23" s="850"/>
      <c r="F23" s="38" t="s">
        <v>24</v>
      </c>
      <c r="G23" s="213">
        <v>4170.2750999999998</v>
      </c>
      <c r="H23" s="847"/>
      <c r="I23" s="145"/>
      <c r="J23" s="15"/>
    </row>
    <row r="24" spans="1:19" ht="16.95" customHeight="1">
      <c r="A24" s="867"/>
      <c r="B24" s="868"/>
      <c r="C24" s="850"/>
      <c r="D24" s="882"/>
      <c r="E24" s="850"/>
      <c r="F24" s="39" t="s">
        <v>10</v>
      </c>
      <c r="G24" s="213">
        <v>473.41717999999997</v>
      </c>
      <c r="H24" s="847"/>
      <c r="I24" s="249"/>
      <c r="J24" s="15"/>
      <c r="N24" s="333"/>
      <c r="O24" s="241"/>
    </row>
    <row r="25" spans="1:19" ht="16.95" customHeight="1">
      <c r="A25" s="867"/>
      <c r="B25" s="868"/>
      <c r="C25" s="850"/>
      <c r="D25" s="883"/>
      <c r="E25" s="850"/>
      <c r="F25" s="39" t="s">
        <v>11</v>
      </c>
      <c r="G25" s="9">
        <f>666.21039+0.00033</f>
        <v>666.21071999999992</v>
      </c>
      <c r="H25" s="847"/>
      <c r="I25" s="128"/>
      <c r="J25" s="145"/>
      <c r="M25" s="18"/>
      <c r="P25" s="329"/>
    </row>
    <row r="26" spans="1:19" ht="19.2" customHeight="1">
      <c r="A26" s="875" t="s">
        <v>21</v>
      </c>
      <c r="B26" s="877" t="s">
        <v>364</v>
      </c>
      <c r="C26" s="850" t="s">
        <v>9</v>
      </c>
      <c r="D26" s="879" t="s">
        <v>9</v>
      </c>
      <c r="E26" s="850" t="s">
        <v>517</v>
      </c>
      <c r="F26" s="37" t="s">
        <v>20</v>
      </c>
      <c r="G26" s="3">
        <v>7140.143</v>
      </c>
      <c r="H26" s="853" t="s">
        <v>9</v>
      </c>
      <c r="I26" s="243"/>
      <c r="P26" s="247"/>
    </row>
    <row r="27" spans="1:19" ht="19.2" customHeight="1">
      <c r="A27" s="875"/>
      <c r="B27" s="877"/>
      <c r="C27" s="850"/>
      <c r="D27" s="879"/>
      <c r="E27" s="850"/>
      <c r="F27" s="38" t="s">
        <v>24</v>
      </c>
      <c r="G27" s="3">
        <v>6337.9143400000003</v>
      </c>
      <c r="H27" s="854"/>
      <c r="I27" s="243"/>
      <c r="P27" s="247"/>
    </row>
    <row r="28" spans="1:19" ht="19.2" customHeight="1">
      <c r="A28" s="875"/>
      <c r="B28" s="877"/>
      <c r="C28" s="850"/>
      <c r="D28" s="879"/>
      <c r="E28" s="850"/>
      <c r="F28" s="39" t="s">
        <v>10</v>
      </c>
      <c r="G28" s="3">
        <v>719.49150999999995</v>
      </c>
      <c r="H28" s="854"/>
      <c r="I28" s="160"/>
      <c r="K28" s="18"/>
      <c r="M28" s="18"/>
      <c r="P28" s="247"/>
    </row>
    <row r="29" spans="1:19" ht="19.2" customHeight="1">
      <c r="A29" s="875"/>
      <c r="B29" s="877"/>
      <c r="C29" s="850"/>
      <c r="D29" s="879"/>
      <c r="E29" s="850"/>
      <c r="F29" s="39" t="s">
        <v>11</v>
      </c>
      <c r="G29" s="3">
        <f>G26-G27-G28</f>
        <v>82.737149999999815</v>
      </c>
      <c r="H29" s="852"/>
      <c r="I29" s="251"/>
      <c r="K29" s="183"/>
      <c r="M29" s="245"/>
      <c r="N29" s="335"/>
      <c r="O29" s="245"/>
      <c r="P29" s="248"/>
    </row>
    <row r="30" spans="1:19" ht="19.2" customHeight="1">
      <c r="A30" s="867" t="s">
        <v>1202</v>
      </c>
      <c r="B30" s="878" t="s">
        <v>660</v>
      </c>
      <c r="C30" s="850" t="s">
        <v>27</v>
      </c>
      <c r="D30" s="879">
        <v>624.27</v>
      </c>
      <c r="E30" s="850" t="s">
        <v>517</v>
      </c>
      <c r="F30" s="403" t="s">
        <v>20</v>
      </c>
      <c r="G30" s="406" t="s">
        <v>947</v>
      </c>
      <c r="H30" s="905" t="s">
        <v>84</v>
      </c>
      <c r="I30" s="203"/>
      <c r="K30" s="209"/>
      <c r="M30" s="18"/>
      <c r="N30" s="334"/>
    </row>
    <row r="31" spans="1:19" ht="19.2" customHeight="1">
      <c r="A31" s="867"/>
      <c r="B31" s="878"/>
      <c r="C31" s="850"/>
      <c r="D31" s="879"/>
      <c r="E31" s="850"/>
      <c r="F31" s="404" t="s">
        <v>24</v>
      </c>
      <c r="G31" s="406" t="s">
        <v>948</v>
      </c>
      <c r="H31" s="905"/>
      <c r="I31" s="18"/>
      <c r="K31" s="236"/>
    </row>
    <row r="32" spans="1:19" ht="19.2" customHeight="1">
      <c r="A32" s="867"/>
      <c r="B32" s="878"/>
      <c r="C32" s="850"/>
      <c r="D32" s="879"/>
      <c r="E32" s="850"/>
      <c r="F32" s="405" t="s">
        <v>10</v>
      </c>
      <c r="G32" s="406">
        <v>604.83727999999996</v>
      </c>
      <c r="H32" s="905"/>
      <c r="I32" s="18"/>
      <c r="K32" s="236"/>
      <c r="N32" s="333"/>
    </row>
    <row r="33" spans="1:15" ht="19.2" customHeight="1">
      <c r="A33" s="867"/>
      <c r="B33" s="878"/>
      <c r="C33" s="850"/>
      <c r="D33" s="879"/>
      <c r="E33" s="850"/>
      <c r="F33" s="405" t="s">
        <v>11</v>
      </c>
      <c r="G33" s="406">
        <v>60.483730000000001</v>
      </c>
      <c r="H33" s="905"/>
      <c r="I33" s="145"/>
      <c r="J33" s="15"/>
      <c r="K33" s="357"/>
    </row>
    <row r="34" spans="1:15" ht="19.2" customHeight="1">
      <c r="A34" s="867" t="s">
        <v>166</v>
      </c>
      <c r="B34" s="878" t="s">
        <v>661</v>
      </c>
      <c r="C34" s="850" t="s">
        <v>27</v>
      </c>
      <c r="D34" s="879">
        <v>244.15</v>
      </c>
      <c r="E34" s="850" t="s">
        <v>517</v>
      </c>
      <c r="F34" s="403" t="s">
        <v>20</v>
      </c>
      <c r="G34" s="407">
        <v>636.09500000000003</v>
      </c>
      <c r="H34" s="905" t="s">
        <v>84</v>
      </c>
      <c r="I34" s="15"/>
      <c r="J34" s="15"/>
      <c r="K34" s="351"/>
      <c r="M34" s="18"/>
    </row>
    <row r="35" spans="1:15" ht="19.2" customHeight="1">
      <c r="A35" s="867"/>
      <c r="B35" s="878"/>
      <c r="C35" s="850"/>
      <c r="D35" s="879"/>
      <c r="E35" s="850"/>
      <c r="F35" s="404" t="s">
        <v>24</v>
      </c>
      <c r="G35" s="408">
        <v>565.48112000000003</v>
      </c>
      <c r="H35" s="905"/>
      <c r="I35" s="145"/>
      <c r="J35" s="15"/>
      <c r="K35" s="358"/>
    </row>
    <row r="36" spans="1:15" ht="19.2" customHeight="1">
      <c r="A36" s="867"/>
      <c r="B36" s="878"/>
      <c r="C36" s="850"/>
      <c r="D36" s="879"/>
      <c r="E36" s="850"/>
      <c r="F36" s="405" t="s">
        <v>10</v>
      </c>
      <c r="G36" s="408">
        <v>64.19444</v>
      </c>
      <c r="H36" s="905"/>
      <c r="I36" s="145"/>
      <c r="J36" s="15"/>
      <c r="K36" s="358"/>
      <c r="N36" s="333"/>
    </row>
    <row r="37" spans="1:15" ht="19.2" customHeight="1">
      <c r="A37" s="867"/>
      <c r="B37" s="878"/>
      <c r="C37" s="850"/>
      <c r="D37" s="879"/>
      <c r="E37" s="850"/>
      <c r="F37" s="405" t="s">
        <v>11</v>
      </c>
      <c r="G37" s="408">
        <v>6.4194399999999998</v>
      </c>
      <c r="H37" s="905"/>
      <c r="I37" s="145"/>
      <c r="J37" s="15"/>
      <c r="K37" s="359"/>
    </row>
    <row r="38" spans="1:15" ht="15" customHeight="1">
      <c r="A38" s="867" t="s">
        <v>1203</v>
      </c>
      <c r="B38" s="904" t="s">
        <v>665</v>
      </c>
      <c r="C38" s="850" t="s">
        <v>190</v>
      </c>
      <c r="D38" s="903">
        <f>D42+D46</f>
        <v>2</v>
      </c>
      <c r="E38" s="850" t="s">
        <v>517</v>
      </c>
      <c r="F38" s="37" t="s">
        <v>20</v>
      </c>
      <c r="G38" s="186">
        <f>G39+G40+G41</f>
        <v>510.78800000000001</v>
      </c>
      <c r="H38" s="847" t="s">
        <v>85</v>
      </c>
      <c r="I38" s="144"/>
      <c r="J38" s="15"/>
      <c r="K38" s="18"/>
    </row>
    <row r="39" spans="1:15" ht="15" customHeight="1">
      <c r="A39" s="867"/>
      <c r="B39" s="904"/>
      <c r="C39" s="850"/>
      <c r="D39" s="903"/>
      <c r="E39" s="850"/>
      <c r="F39" s="38" t="s">
        <v>24</v>
      </c>
      <c r="G39" s="244">
        <v>444.49423000000002</v>
      </c>
      <c r="H39" s="847"/>
      <c r="I39" s="145"/>
      <c r="J39" s="15"/>
    </row>
    <row r="40" spans="1:15" ht="15" customHeight="1">
      <c r="A40" s="867"/>
      <c r="B40" s="904"/>
      <c r="C40" s="850"/>
      <c r="D40" s="903"/>
      <c r="E40" s="850"/>
      <c r="F40" s="39" t="s">
        <v>10</v>
      </c>
      <c r="G40" s="244">
        <v>50.459789999999998</v>
      </c>
      <c r="H40" s="847"/>
      <c r="I40" s="145"/>
      <c r="J40" s="15"/>
      <c r="N40" s="333"/>
      <c r="O40" s="241"/>
    </row>
    <row r="41" spans="1:15" ht="15" customHeight="1">
      <c r="A41" s="867"/>
      <c r="B41" s="904"/>
      <c r="C41" s="850"/>
      <c r="D41" s="903"/>
      <c r="E41" s="850"/>
      <c r="F41" s="39" t="s">
        <v>11</v>
      </c>
      <c r="G41" s="244">
        <v>15.83398</v>
      </c>
      <c r="H41" s="847"/>
      <c r="I41" s="145"/>
      <c r="J41" s="250"/>
    </row>
    <row r="42" spans="1:15" ht="15" customHeight="1">
      <c r="A42" s="867"/>
      <c r="B42" s="868" t="s">
        <v>667</v>
      </c>
      <c r="C42" s="850" t="s">
        <v>190</v>
      </c>
      <c r="D42" s="903">
        <v>1</v>
      </c>
      <c r="E42" s="850" t="s">
        <v>517</v>
      </c>
      <c r="F42" s="37" t="s">
        <v>20</v>
      </c>
      <c r="G42" s="3">
        <v>470.77199999999999</v>
      </c>
      <c r="H42" s="847" t="s">
        <v>85</v>
      </c>
      <c r="I42" s="144"/>
      <c r="J42" s="15"/>
    </row>
    <row r="43" spans="1:15" ht="15" customHeight="1">
      <c r="A43" s="867"/>
      <c r="B43" s="868"/>
      <c r="C43" s="850"/>
      <c r="D43" s="903"/>
      <c r="E43" s="850"/>
      <c r="F43" s="38" t="s">
        <v>24</v>
      </c>
      <c r="G43" s="19">
        <f>G42*J11</f>
        <v>418.51087646308213</v>
      </c>
      <c r="H43" s="847"/>
      <c r="I43" s="145"/>
      <c r="J43" s="15"/>
    </row>
    <row r="44" spans="1:15" ht="15" customHeight="1">
      <c r="A44" s="867"/>
      <c r="B44" s="868"/>
      <c r="C44" s="850"/>
      <c r="D44" s="903"/>
      <c r="E44" s="850"/>
      <c r="F44" s="39" t="s">
        <v>10</v>
      </c>
      <c r="G44" s="19">
        <f>G42*J12</f>
        <v>47.510112208428851</v>
      </c>
      <c r="H44" s="847"/>
      <c r="I44" s="145"/>
      <c r="J44" s="15"/>
    </row>
    <row r="45" spans="1:15" ht="15" customHeight="1">
      <c r="A45" s="867"/>
      <c r="B45" s="868"/>
      <c r="C45" s="850"/>
      <c r="D45" s="903"/>
      <c r="E45" s="850"/>
      <c r="F45" s="39" t="s">
        <v>11</v>
      </c>
      <c r="G45" s="19">
        <f>G44*10%</f>
        <v>4.7510112208428854</v>
      </c>
      <c r="H45" s="847"/>
      <c r="I45" s="145"/>
      <c r="J45" s="15"/>
    </row>
    <row r="46" spans="1:15" ht="15" customHeight="1">
      <c r="A46" s="867"/>
      <c r="B46" s="896" t="s">
        <v>666</v>
      </c>
      <c r="C46" s="850" t="s">
        <v>190</v>
      </c>
      <c r="D46" s="903">
        <v>1</v>
      </c>
      <c r="E46" s="850" t="s">
        <v>517</v>
      </c>
      <c r="F46" s="37" t="s">
        <v>20</v>
      </c>
      <c r="G46" s="3">
        <f>G47+G48+G49</f>
        <v>40.01600010764615</v>
      </c>
      <c r="H46" s="847" t="s">
        <v>85</v>
      </c>
      <c r="I46" s="145"/>
      <c r="J46" s="15"/>
    </row>
    <row r="47" spans="1:15" ht="15" customHeight="1">
      <c r="A47" s="867"/>
      <c r="B47" s="896"/>
      <c r="C47" s="850"/>
      <c r="D47" s="903"/>
      <c r="E47" s="850"/>
      <c r="F47" s="38" t="s">
        <v>24</v>
      </c>
      <c r="G47" s="19">
        <f>G39-G43</f>
        <v>25.983353536917889</v>
      </c>
      <c r="H47" s="847"/>
      <c r="I47" s="145"/>
      <c r="J47" s="15"/>
    </row>
    <row r="48" spans="1:15" ht="15" customHeight="1">
      <c r="A48" s="867"/>
      <c r="B48" s="896"/>
      <c r="C48" s="850"/>
      <c r="D48" s="903"/>
      <c r="E48" s="850"/>
      <c r="F48" s="39" t="s">
        <v>10</v>
      </c>
      <c r="G48" s="19">
        <f>G40-G44</f>
        <v>2.9496777915711476</v>
      </c>
      <c r="H48" s="847"/>
      <c r="I48" s="145"/>
      <c r="J48" s="15"/>
    </row>
    <row r="49" spans="1:11" ht="15" customHeight="1">
      <c r="A49" s="867"/>
      <c r="B49" s="896"/>
      <c r="C49" s="850"/>
      <c r="D49" s="903"/>
      <c r="E49" s="850"/>
      <c r="F49" s="39" t="s">
        <v>11</v>
      </c>
      <c r="G49" s="19">
        <f>G41-G45</f>
        <v>11.082968779157115</v>
      </c>
      <c r="H49" s="847"/>
      <c r="I49" s="145"/>
      <c r="J49" s="15"/>
      <c r="K49" s="18"/>
    </row>
    <row r="50" spans="1:11" ht="19.2" hidden="1" customHeight="1">
      <c r="A50" s="848" t="s">
        <v>399</v>
      </c>
      <c r="B50" s="884"/>
      <c r="C50" s="850"/>
      <c r="D50" s="851"/>
      <c r="E50" s="850"/>
      <c r="F50" s="37" t="s">
        <v>20</v>
      </c>
      <c r="G50" s="3"/>
      <c r="H50" s="847"/>
    </row>
    <row r="51" spans="1:11" ht="15.6" hidden="1" customHeight="1">
      <c r="A51" s="848"/>
      <c r="B51" s="884"/>
      <c r="C51" s="850"/>
      <c r="D51" s="851"/>
      <c r="E51" s="850"/>
      <c r="F51" s="38" t="s">
        <v>24</v>
      </c>
      <c r="G51" s="9"/>
      <c r="H51" s="847"/>
    </row>
    <row r="52" spans="1:11" ht="13.2" hidden="1" customHeight="1">
      <c r="A52" s="848"/>
      <c r="B52" s="884"/>
      <c r="C52" s="850"/>
      <c r="D52" s="851"/>
      <c r="E52" s="850"/>
      <c r="F52" s="38" t="s">
        <v>10</v>
      </c>
      <c r="G52" s="9"/>
      <c r="H52" s="847"/>
    </row>
    <row r="53" spans="1:11" ht="16.2" hidden="1" customHeight="1">
      <c r="A53" s="848"/>
      <c r="B53" s="884"/>
      <c r="C53" s="850"/>
      <c r="D53" s="851"/>
      <c r="E53" s="850"/>
      <c r="F53" s="38" t="s">
        <v>11</v>
      </c>
      <c r="G53" s="9"/>
      <c r="H53" s="847"/>
      <c r="I53" s="17"/>
    </row>
    <row r="54" spans="1:11" ht="19.95" customHeight="1">
      <c r="A54" s="863" t="s">
        <v>48</v>
      </c>
      <c r="B54" s="859" t="s">
        <v>582</v>
      </c>
      <c r="C54" s="850" t="s">
        <v>9</v>
      </c>
      <c r="D54" s="864" t="s">
        <v>9</v>
      </c>
      <c r="E54" s="850" t="s">
        <v>9</v>
      </c>
      <c r="F54" s="37" t="s">
        <v>20</v>
      </c>
      <c r="G54" s="204">
        <f>G58</f>
        <v>51588.506290000005</v>
      </c>
      <c r="H54" s="855" t="s">
        <v>9</v>
      </c>
      <c r="I54" s="18"/>
    </row>
    <row r="55" spans="1:11" ht="19.95" customHeight="1">
      <c r="A55" s="863"/>
      <c r="B55" s="859"/>
      <c r="C55" s="850"/>
      <c r="D55" s="865"/>
      <c r="E55" s="850"/>
      <c r="F55" s="38" t="s">
        <v>24</v>
      </c>
      <c r="G55" s="204">
        <f>G59</f>
        <v>51333.9</v>
      </c>
      <c r="H55" s="856"/>
      <c r="I55" s="18"/>
    </row>
    <row r="56" spans="1:11" ht="19.95" customHeight="1">
      <c r="A56" s="863"/>
      <c r="B56" s="859"/>
      <c r="C56" s="850"/>
      <c r="D56" s="865"/>
      <c r="E56" s="850"/>
      <c r="F56" s="38" t="s">
        <v>10</v>
      </c>
      <c r="G56" s="204">
        <f>G60</f>
        <v>0</v>
      </c>
      <c r="H56" s="856"/>
      <c r="I56" s="18"/>
    </row>
    <row r="57" spans="1:11" ht="19.95" customHeight="1">
      <c r="A57" s="863"/>
      <c r="B57" s="859"/>
      <c r="C57" s="850"/>
      <c r="D57" s="866"/>
      <c r="E57" s="850"/>
      <c r="F57" s="38" t="s">
        <v>11</v>
      </c>
      <c r="G57" s="204">
        <f>G61</f>
        <v>254.60629</v>
      </c>
      <c r="H57" s="857"/>
    </row>
    <row r="58" spans="1:11" ht="15" customHeight="1">
      <c r="A58" s="875" t="s">
        <v>104</v>
      </c>
      <c r="B58" s="876" t="s">
        <v>566</v>
      </c>
      <c r="C58" s="850" t="s">
        <v>9</v>
      </c>
      <c r="D58" s="881" t="s">
        <v>9</v>
      </c>
      <c r="E58" s="850" t="s">
        <v>9</v>
      </c>
      <c r="F58" s="37" t="s">
        <v>20</v>
      </c>
      <c r="G58" s="204">
        <f>G59+G60+G61</f>
        <v>51588.506290000005</v>
      </c>
      <c r="H58" s="847" t="s">
        <v>85</v>
      </c>
    </row>
    <row r="59" spans="1:11" ht="15" customHeight="1">
      <c r="A59" s="875"/>
      <c r="B59" s="876"/>
      <c r="C59" s="850"/>
      <c r="D59" s="882"/>
      <c r="E59" s="850"/>
      <c r="F59" s="38" t="s">
        <v>24</v>
      </c>
      <c r="G59" s="204">
        <f>G63+G67+G71+G75+G79+G83+G87+G91+G95+G99+G103+G107+G111+G115+G119+G123+G127+G131</f>
        <v>51333.9</v>
      </c>
      <c r="H59" s="847"/>
      <c r="I59" s="18"/>
    </row>
    <row r="60" spans="1:11" ht="15" customHeight="1">
      <c r="A60" s="875"/>
      <c r="B60" s="876"/>
      <c r="C60" s="850"/>
      <c r="D60" s="882"/>
      <c r="E60" s="850"/>
      <c r="F60" s="39" t="s">
        <v>10</v>
      </c>
      <c r="G60" s="204">
        <f t="shared" ref="G60" si="0">G64+G68+G72+G76+G80+G84+G88+G92+G96+G100+G104+G108+G112+G116+G120</f>
        <v>0</v>
      </c>
      <c r="H60" s="847"/>
      <c r="I60" s="18"/>
    </row>
    <row r="61" spans="1:11" ht="15" customHeight="1">
      <c r="A61" s="875"/>
      <c r="B61" s="876"/>
      <c r="C61" s="850"/>
      <c r="D61" s="883"/>
      <c r="E61" s="850"/>
      <c r="F61" s="39" t="s">
        <v>11</v>
      </c>
      <c r="G61" s="204">
        <f>G65+G69+G73+G77+G81+G85+G89+G93+G97+G101+G105+G109+G113+G117+G121+G125</f>
        <v>254.60629</v>
      </c>
      <c r="H61" s="847"/>
      <c r="K61" s="209"/>
    </row>
    <row r="62" spans="1:11" ht="15" customHeight="1">
      <c r="A62" s="867" t="s">
        <v>680</v>
      </c>
      <c r="B62" s="868" t="s">
        <v>820</v>
      </c>
      <c r="C62" s="850" t="s">
        <v>932</v>
      </c>
      <c r="D62" s="897">
        <v>1</v>
      </c>
      <c r="E62" s="850" t="s">
        <v>517</v>
      </c>
      <c r="F62" s="37" t="s">
        <v>20</v>
      </c>
      <c r="G62" s="3">
        <f>G63+G64+G65</f>
        <v>110.7864</v>
      </c>
      <c r="H62" s="847" t="s">
        <v>85</v>
      </c>
      <c r="I62" s="18"/>
      <c r="K62" s="359"/>
    </row>
    <row r="63" spans="1:11" ht="15" customHeight="1">
      <c r="A63" s="867"/>
      <c r="B63" s="868"/>
      <c r="C63" s="850"/>
      <c r="D63" s="898"/>
      <c r="E63" s="850"/>
      <c r="F63" s="38" t="s">
        <v>24</v>
      </c>
      <c r="G63" s="19"/>
      <c r="H63" s="847"/>
      <c r="I63" s="18"/>
      <c r="K63" s="359"/>
    </row>
    <row r="64" spans="1:11" ht="15" customHeight="1">
      <c r="A64" s="867"/>
      <c r="B64" s="868"/>
      <c r="C64" s="850"/>
      <c r="D64" s="898"/>
      <c r="E64" s="850"/>
      <c r="F64" s="39" t="s">
        <v>10</v>
      </c>
      <c r="G64" s="19"/>
      <c r="H64" s="847"/>
      <c r="I64" s="18"/>
      <c r="K64" s="178"/>
    </row>
    <row r="65" spans="1:13" ht="15" customHeight="1">
      <c r="A65" s="867"/>
      <c r="B65" s="868"/>
      <c r="C65" s="850"/>
      <c r="D65" s="899"/>
      <c r="E65" s="850"/>
      <c r="F65" s="39" t="s">
        <v>11</v>
      </c>
      <c r="G65" s="5">
        <v>110.7864</v>
      </c>
      <c r="H65" s="847"/>
      <c r="I65" s="18"/>
      <c r="J65" s="18"/>
    </row>
    <row r="66" spans="1:13" ht="15" customHeight="1">
      <c r="A66" s="900" t="s">
        <v>822</v>
      </c>
      <c r="B66" s="868" t="s">
        <v>821</v>
      </c>
      <c r="C66" s="850" t="s">
        <v>932</v>
      </c>
      <c r="D66" s="897">
        <v>1</v>
      </c>
      <c r="E66" s="850" t="s">
        <v>517</v>
      </c>
      <c r="F66" s="37" t="s">
        <v>20</v>
      </c>
      <c r="G66" s="3">
        <f>G67+G68+G69</f>
        <v>48.794400000000003</v>
      </c>
      <c r="H66" s="847" t="s">
        <v>85</v>
      </c>
      <c r="I66" s="18"/>
    </row>
    <row r="67" spans="1:13" ht="15" customHeight="1">
      <c r="A67" s="901"/>
      <c r="B67" s="868"/>
      <c r="C67" s="850"/>
      <c r="D67" s="898"/>
      <c r="E67" s="850"/>
      <c r="F67" s="38" t="s">
        <v>24</v>
      </c>
      <c r="G67" s="19"/>
      <c r="H67" s="847"/>
      <c r="I67" s="18"/>
    </row>
    <row r="68" spans="1:13" ht="15" customHeight="1">
      <c r="A68" s="901"/>
      <c r="B68" s="868"/>
      <c r="C68" s="850"/>
      <c r="D68" s="898"/>
      <c r="E68" s="850"/>
      <c r="F68" s="39" t="s">
        <v>10</v>
      </c>
      <c r="G68" s="19"/>
      <c r="H68" s="847"/>
      <c r="I68" s="18"/>
    </row>
    <row r="69" spans="1:13" ht="15" customHeight="1">
      <c r="A69" s="902"/>
      <c r="B69" s="868"/>
      <c r="C69" s="850"/>
      <c r="D69" s="899"/>
      <c r="E69" s="850"/>
      <c r="F69" s="39" t="s">
        <v>11</v>
      </c>
      <c r="G69" s="5">
        <v>48.794400000000003</v>
      </c>
      <c r="H69" s="847"/>
      <c r="I69" s="18"/>
      <c r="J69" s="18"/>
    </row>
    <row r="70" spans="1:13" ht="15" customHeight="1">
      <c r="A70" s="900" t="s">
        <v>681</v>
      </c>
      <c r="B70" s="868" t="s">
        <v>690</v>
      </c>
      <c r="C70" s="850" t="s">
        <v>932</v>
      </c>
      <c r="D70" s="897">
        <v>1</v>
      </c>
      <c r="E70" s="850" t="s">
        <v>517</v>
      </c>
      <c r="F70" s="37" t="s">
        <v>20</v>
      </c>
      <c r="G70" s="3">
        <f>G71+G72+G73</f>
        <v>50</v>
      </c>
      <c r="H70" s="847" t="s">
        <v>85</v>
      </c>
      <c r="I70" s="18"/>
    </row>
    <row r="71" spans="1:13" ht="15" customHeight="1">
      <c r="A71" s="901"/>
      <c r="B71" s="868"/>
      <c r="C71" s="850"/>
      <c r="D71" s="898"/>
      <c r="E71" s="850"/>
      <c r="F71" s="38" t="s">
        <v>24</v>
      </c>
      <c r="G71" s="19"/>
      <c r="H71" s="847"/>
      <c r="I71" s="18"/>
    </row>
    <row r="72" spans="1:13" ht="15" customHeight="1">
      <c r="A72" s="901"/>
      <c r="B72" s="868"/>
      <c r="C72" s="850"/>
      <c r="D72" s="898"/>
      <c r="E72" s="850"/>
      <c r="F72" s="39" t="s">
        <v>10</v>
      </c>
      <c r="G72" s="19"/>
      <c r="H72" s="847"/>
      <c r="I72" s="18"/>
    </row>
    <row r="73" spans="1:13" ht="15" customHeight="1">
      <c r="A73" s="902"/>
      <c r="B73" s="868"/>
      <c r="C73" s="850"/>
      <c r="D73" s="899"/>
      <c r="E73" s="850"/>
      <c r="F73" s="39" t="s">
        <v>11</v>
      </c>
      <c r="G73" s="5">
        <v>50</v>
      </c>
      <c r="H73" s="847"/>
      <c r="I73" s="18"/>
    </row>
    <row r="74" spans="1:13" ht="15" customHeight="1">
      <c r="A74" s="900" t="s">
        <v>682</v>
      </c>
      <c r="B74" s="868" t="s">
        <v>575</v>
      </c>
      <c r="C74" s="850" t="s">
        <v>932</v>
      </c>
      <c r="D74" s="897">
        <v>1</v>
      </c>
      <c r="E74" s="850" t="s">
        <v>517</v>
      </c>
      <c r="F74" s="37" t="s">
        <v>20</v>
      </c>
      <c r="G74" s="3">
        <f>G75+G76+G77</f>
        <v>52.616399999999999</v>
      </c>
      <c r="H74" s="847" t="s">
        <v>85</v>
      </c>
      <c r="I74" s="18"/>
    </row>
    <row r="75" spans="1:13" ht="15" customHeight="1">
      <c r="A75" s="901"/>
      <c r="B75" s="868"/>
      <c r="C75" s="850"/>
      <c r="D75" s="898"/>
      <c r="E75" s="850"/>
      <c r="F75" s="38" t="s">
        <v>24</v>
      </c>
      <c r="G75" s="19">
        <v>44.723939999999999</v>
      </c>
      <c r="H75" s="847"/>
      <c r="I75" s="18"/>
    </row>
    <row r="76" spans="1:13" ht="15" customHeight="1">
      <c r="A76" s="901"/>
      <c r="B76" s="868"/>
      <c r="C76" s="850"/>
      <c r="D76" s="898"/>
      <c r="E76" s="850"/>
      <c r="F76" s="39" t="s">
        <v>10</v>
      </c>
      <c r="G76" s="19"/>
      <c r="H76" s="847"/>
      <c r="I76" s="18"/>
    </row>
    <row r="77" spans="1:13" ht="15" customHeight="1">
      <c r="A77" s="902"/>
      <c r="B77" s="868"/>
      <c r="C77" s="850"/>
      <c r="D77" s="899"/>
      <c r="E77" s="850"/>
      <c r="F77" s="39" t="s">
        <v>11</v>
      </c>
      <c r="G77" s="5">
        <v>7.8924599999999998</v>
      </c>
      <c r="H77" s="847"/>
      <c r="I77" s="18"/>
    </row>
    <row r="78" spans="1:13" ht="15" customHeight="1">
      <c r="A78" s="900" t="s">
        <v>683</v>
      </c>
      <c r="B78" s="868" t="s">
        <v>619</v>
      </c>
      <c r="C78" s="850" t="s">
        <v>190</v>
      </c>
      <c r="D78" s="897">
        <v>4</v>
      </c>
      <c r="E78" s="850" t="s">
        <v>517</v>
      </c>
      <c r="F78" s="37" t="s">
        <v>20</v>
      </c>
      <c r="G78" s="3">
        <f>G79+G80+G81</f>
        <v>47157.145999999986</v>
      </c>
      <c r="H78" s="847" t="s">
        <v>85</v>
      </c>
      <c r="J78" s="15"/>
      <c r="K78" s="15"/>
    </row>
    <row r="79" spans="1:13" ht="15" customHeight="1">
      <c r="A79" s="901"/>
      <c r="B79" s="868"/>
      <c r="C79" s="850"/>
      <c r="D79" s="898"/>
      <c r="E79" s="850"/>
      <c r="F79" s="38" t="s">
        <v>24</v>
      </c>
      <c r="G79" s="5">
        <f>51333.9-G63-G67-G71-G75-G83-G87-G91-G95-G99-G103-G107-G111-G115-G119-G123-G127-G131</f>
        <v>47157.145999999986</v>
      </c>
      <c r="H79" s="847"/>
      <c r="I79" s="18"/>
      <c r="J79" s="18"/>
      <c r="K79" s="18"/>
      <c r="M79" s="200"/>
    </row>
    <row r="80" spans="1:13" ht="15" customHeight="1">
      <c r="A80" s="901"/>
      <c r="B80" s="868"/>
      <c r="C80" s="850"/>
      <c r="D80" s="898"/>
      <c r="E80" s="850"/>
      <c r="F80" s="39" t="s">
        <v>10</v>
      </c>
      <c r="G80" s="213"/>
      <c r="H80" s="847"/>
      <c r="I80" s="18"/>
      <c r="J80" s="202"/>
      <c r="M80" s="18"/>
    </row>
    <row r="81" spans="1:11" ht="15" customHeight="1">
      <c r="A81" s="902"/>
      <c r="B81" s="868"/>
      <c r="C81" s="850"/>
      <c r="D81" s="899"/>
      <c r="E81" s="850"/>
      <c r="F81" s="39" t="s">
        <v>11</v>
      </c>
      <c r="G81" s="5"/>
      <c r="H81" s="847"/>
      <c r="I81" s="18"/>
      <c r="J81" s="18"/>
    </row>
    <row r="82" spans="1:11" ht="16.2" customHeight="1">
      <c r="A82" s="900" t="s">
        <v>689</v>
      </c>
      <c r="B82" s="868" t="s">
        <v>620</v>
      </c>
      <c r="C82" s="850" t="s">
        <v>932</v>
      </c>
      <c r="D82" s="897">
        <v>1</v>
      </c>
      <c r="E82" s="850" t="s">
        <v>517</v>
      </c>
      <c r="F82" s="37" t="s">
        <v>20</v>
      </c>
      <c r="G82" s="3">
        <f>G83+G84+G85</f>
        <v>400.48345</v>
      </c>
      <c r="H82" s="847" t="s">
        <v>85</v>
      </c>
      <c r="I82" s="18"/>
    </row>
    <row r="83" spans="1:11" ht="16.2" customHeight="1">
      <c r="A83" s="901"/>
      <c r="B83" s="868"/>
      <c r="C83" s="850"/>
      <c r="D83" s="898"/>
      <c r="E83" s="850"/>
      <c r="F83" s="38" t="s">
        <v>24</v>
      </c>
      <c r="G83" s="213">
        <v>400.48345</v>
      </c>
      <c r="H83" s="847"/>
      <c r="I83" s="18"/>
      <c r="J83" s="202"/>
    </row>
    <row r="84" spans="1:11" ht="16.2" customHeight="1">
      <c r="A84" s="901"/>
      <c r="B84" s="868"/>
      <c r="C84" s="850"/>
      <c r="D84" s="898"/>
      <c r="E84" s="850"/>
      <c r="F84" s="39" t="s">
        <v>10</v>
      </c>
      <c r="G84" s="213"/>
      <c r="H84" s="847"/>
      <c r="I84" s="18"/>
      <c r="J84" s="202"/>
    </row>
    <row r="85" spans="1:11" ht="16.2" customHeight="1">
      <c r="A85" s="902"/>
      <c r="B85" s="868"/>
      <c r="C85" s="850"/>
      <c r="D85" s="899"/>
      <c r="E85" s="850"/>
      <c r="F85" s="39" t="s">
        <v>11</v>
      </c>
      <c r="G85" s="5"/>
      <c r="H85" s="847"/>
      <c r="I85" s="18"/>
      <c r="J85" s="202"/>
    </row>
    <row r="86" spans="1:11" ht="15" customHeight="1">
      <c r="A86" s="900" t="s">
        <v>718</v>
      </c>
      <c r="B86" s="868" t="s">
        <v>618</v>
      </c>
      <c r="C86" s="850" t="s">
        <v>932</v>
      </c>
      <c r="D86" s="897">
        <v>1</v>
      </c>
      <c r="E86" s="850" t="s">
        <v>517</v>
      </c>
      <c r="F86" s="37" t="s">
        <v>20</v>
      </c>
      <c r="G86" s="3">
        <f>G87+G88+G89</f>
        <v>77.91</v>
      </c>
      <c r="H86" s="847" t="s">
        <v>85</v>
      </c>
      <c r="I86" s="18"/>
    </row>
    <row r="87" spans="1:11" ht="15" customHeight="1">
      <c r="A87" s="901"/>
      <c r="B87" s="868"/>
      <c r="C87" s="850"/>
      <c r="D87" s="898"/>
      <c r="E87" s="850"/>
      <c r="F87" s="38" t="s">
        <v>24</v>
      </c>
      <c r="G87" s="5">
        <v>77.91</v>
      </c>
      <c r="H87" s="847"/>
      <c r="I87" s="18"/>
      <c r="J87" s="202"/>
    </row>
    <row r="88" spans="1:11" ht="15" customHeight="1">
      <c r="A88" s="901"/>
      <c r="B88" s="868"/>
      <c r="C88" s="850"/>
      <c r="D88" s="898"/>
      <c r="E88" s="850"/>
      <c r="F88" s="39" t="s">
        <v>10</v>
      </c>
      <c r="G88" s="19"/>
      <c r="H88" s="847"/>
      <c r="I88" s="18"/>
      <c r="J88" s="202"/>
    </row>
    <row r="89" spans="1:11" ht="15" customHeight="1">
      <c r="A89" s="902"/>
      <c r="B89" s="868"/>
      <c r="C89" s="850"/>
      <c r="D89" s="899"/>
      <c r="E89" s="850"/>
      <c r="F89" s="39" t="s">
        <v>11</v>
      </c>
      <c r="G89" s="5">
        <v>0</v>
      </c>
      <c r="H89" s="847"/>
      <c r="I89" s="18"/>
      <c r="J89" s="202"/>
      <c r="K89" s="18"/>
    </row>
    <row r="90" spans="1:11" ht="15" customHeight="1">
      <c r="A90" s="900" t="s">
        <v>812</v>
      </c>
      <c r="B90" s="868" t="s">
        <v>819</v>
      </c>
      <c r="C90" s="850" t="s">
        <v>932</v>
      </c>
      <c r="D90" s="897">
        <v>1</v>
      </c>
      <c r="E90" s="850" t="s">
        <v>517</v>
      </c>
      <c r="F90" s="37" t="s">
        <v>20</v>
      </c>
      <c r="G90" s="3">
        <f>G91+G92+G93</f>
        <v>17.53303</v>
      </c>
      <c r="H90" s="847" t="s">
        <v>85</v>
      </c>
      <c r="I90" s="18"/>
    </row>
    <row r="91" spans="1:11" ht="15" customHeight="1">
      <c r="A91" s="901"/>
      <c r="B91" s="868"/>
      <c r="C91" s="850"/>
      <c r="D91" s="898"/>
      <c r="E91" s="850"/>
      <c r="F91" s="38" t="s">
        <v>24</v>
      </c>
      <c r="G91" s="5"/>
      <c r="H91" s="847"/>
      <c r="I91" s="18"/>
      <c r="J91" s="202"/>
    </row>
    <row r="92" spans="1:11" ht="15" customHeight="1">
      <c r="A92" s="901"/>
      <c r="B92" s="868"/>
      <c r="C92" s="850"/>
      <c r="D92" s="898"/>
      <c r="E92" s="850"/>
      <c r="F92" s="39" t="s">
        <v>10</v>
      </c>
      <c r="G92" s="19"/>
      <c r="H92" s="847"/>
      <c r="I92" s="18"/>
      <c r="J92" s="202"/>
    </row>
    <row r="93" spans="1:11" ht="15" customHeight="1">
      <c r="A93" s="902"/>
      <c r="B93" s="868"/>
      <c r="C93" s="850"/>
      <c r="D93" s="899"/>
      <c r="E93" s="850"/>
      <c r="F93" s="39" t="s">
        <v>11</v>
      </c>
      <c r="G93" s="5">
        <v>17.53303</v>
      </c>
      <c r="H93" s="847"/>
      <c r="I93" s="18"/>
      <c r="J93" s="202"/>
      <c r="K93" s="18"/>
    </row>
    <row r="94" spans="1:11" ht="15" customHeight="1">
      <c r="A94" s="900" t="s">
        <v>813</v>
      </c>
      <c r="B94" s="868" t="s">
        <v>815</v>
      </c>
      <c r="C94" s="850" t="s">
        <v>932</v>
      </c>
      <c r="D94" s="897">
        <v>1</v>
      </c>
      <c r="E94" s="850" t="s">
        <v>517</v>
      </c>
      <c r="F94" s="37" t="s">
        <v>20</v>
      </c>
      <c r="G94" s="3">
        <f>G95+G96+G97</f>
        <v>45</v>
      </c>
      <c r="H94" s="847" t="s">
        <v>85</v>
      </c>
      <c r="I94" s="18"/>
    </row>
    <row r="95" spans="1:11" ht="15" customHeight="1">
      <c r="A95" s="901"/>
      <c r="B95" s="868"/>
      <c r="C95" s="850"/>
      <c r="D95" s="898"/>
      <c r="E95" s="850"/>
      <c r="F95" s="38" t="s">
        <v>24</v>
      </c>
      <c r="G95" s="5">
        <v>45</v>
      </c>
      <c r="H95" s="847"/>
      <c r="I95" s="18"/>
      <c r="J95" s="202"/>
    </row>
    <row r="96" spans="1:11" ht="15" customHeight="1">
      <c r="A96" s="901"/>
      <c r="B96" s="868"/>
      <c r="C96" s="850"/>
      <c r="D96" s="898"/>
      <c r="E96" s="850"/>
      <c r="F96" s="39" t="s">
        <v>10</v>
      </c>
      <c r="G96" s="19"/>
      <c r="H96" s="847"/>
      <c r="I96" s="18"/>
      <c r="J96" s="202"/>
    </row>
    <row r="97" spans="1:14" ht="15" customHeight="1">
      <c r="A97" s="902"/>
      <c r="B97" s="868"/>
      <c r="C97" s="850"/>
      <c r="D97" s="899"/>
      <c r="E97" s="850"/>
      <c r="F97" s="39" t="s">
        <v>11</v>
      </c>
      <c r="G97" s="5"/>
      <c r="H97" s="847"/>
      <c r="I97" s="18"/>
      <c r="J97" s="202"/>
      <c r="K97" s="18"/>
    </row>
    <row r="98" spans="1:14" ht="15" customHeight="1">
      <c r="A98" s="900" t="s">
        <v>823</v>
      </c>
      <c r="B98" s="868" t="s">
        <v>816</v>
      </c>
      <c r="C98" s="850" t="s">
        <v>932</v>
      </c>
      <c r="D98" s="897">
        <v>1</v>
      </c>
      <c r="E98" s="850" t="s">
        <v>517</v>
      </c>
      <c r="F98" s="37" t="s">
        <v>20</v>
      </c>
      <c r="G98" s="3">
        <f>G99+G100+G101</f>
        <v>19.600000000000001</v>
      </c>
      <c r="H98" s="847" t="s">
        <v>85</v>
      </c>
      <c r="I98" s="18"/>
    </row>
    <row r="99" spans="1:14" ht="15" customHeight="1">
      <c r="A99" s="901"/>
      <c r="B99" s="868"/>
      <c r="C99" s="850"/>
      <c r="D99" s="898"/>
      <c r="E99" s="850"/>
      <c r="F99" s="38" t="s">
        <v>24</v>
      </c>
      <c r="G99" s="5"/>
      <c r="H99" s="847"/>
      <c r="I99" s="18"/>
      <c r="J99" s="202"/>
    </row>
    <row r="100" spans="1:14" ht="15" customHeight="1">
      <c r="A100" s="901"/>
      <c r="B100" s="868"/>
      <c r="C100" s="850"/>
      <c r="D100" s="898"/>
      <c r="E100" s="850"/>
      <c r="F100" s="39" t="s">
        <v>10</v>
      </c>
      <c r="G100" s="19"/>
      <c r="H100" s="847"/>
      <c r="I100" s="18"/>
      <c r="J100" s="202"/>
      <c r="N100" s="18"/>
    </row>
    <row r="101" spans="1:14" ht="15" customHeight="1">
      <c r="A101" s="902"/>
      <c r="B101" s="868"/>
      <c r="C101" s="850"/>
      <c r="D101" s="899"/>
      <c r="E101" s="850"/>
      <c r="F101" s="39" t="s">
        <v>11</v>
      </c>
      <c r="G101" s="5">
        <v>19.600000000000001</v>
      </c>
      <c r="H101" s="847"/>
      <c r="I101" s="18"/>
      <c r="J101" s="202"/>
      <c r="K101" s="18"/>
    </row>
    <row r="102" spans="1:14" ht="15" customHeight="1">
      <c r="A102" s="867" t="s">
        <v>824</v>
      </c>
      <c r="B102" s="868" t="s">
        <v>833</v>
      </c>
      <c r="C102" s="850" t="s">
        <v>190</v>
      </c>
      <c r="D102" s="897">
        <v>1</v>
      </c>
      <c r="E102" s="850" t="s">
        <v>517</v>
      </c>
      <c r="F102" s="37" t="s">
        <v>20</v>
      </c>
      <c r="G102" s="3">
        <f>G103+G104+G105</f>
        <v>92</v>
      </c>
      <c r="H102" s="847" t="s">
        <v>85</v>
      </c>
      <c r="I102" s="18"/>
    </row>
    <row r="103" spans="1:14" ht="15" customHeight="1">
      <c r="A103" s="867"/>
      <c r="B103" s="868"/>
      <c r="C103" s="850"/>
      <c r="D103" s="898"/>
      <c r="E103" s="850"/>
      <c r="F103" s="38" t="s">
        <v>24</v>
      </c>
      <c r="G103" s="5">
        <v>92</v>
      </c>
      <c r="H103" s="847"/>
      <c r="I103" s="18"/>
      <c r="J103" s="202"/>
    </row>
    <row r="104" spans="1:14" ht="15" customHeight="1">
      <c r="A104" s="867"/>
      <c r="B104" s="868"/>
      <c r="C104" s="850"/>
      <c r="D104" s="898"/>
      <c r="E104" s="850"/>
      <c r="F104" s="39" t="s">
        <v>10</v>
      </c>
      <c r="G104" s="19"/>
      <c r="H104" s="847"/>
      <c r="I104" s="18"/>
      <c r="J104" s="202"/>
    </row>
    <row r="105" spans="1:14" ht="15" customHeight="1">
      <c r="A105" s="867"/>
      <c r="B105" s="868"/>
      <c r="C105" s="850"/>
      <c r="D105" s="899"/>
      <c r="E105" s="850"/>
      <c r="F105" s="39" t="s">
        <v>11</v>
      </c>
      <c r="G105" s="5"/>
      <c r="H105" s="847"/>
      <c r="I105" s="18"/>
      <c r="J105" s="202"/>
      <c r="K105" s="18"/>
    </row>
    <row r="106" spans="1:14" ht="15" customHeight="1">
      <c r="A106" s="867" t="s">
        <v>825</v>
      </c>
      <c r="B106" s="868" t="s">
        <v>834</v>
      </c>
      <c r="C106" s="850" t="s">
        <v>190</v>
      </c>
      <c r="D106" s="897">
        <v>1</v>
      </c>
      <c r="E106" s="850" t="s">
        <v>517</v>
      </c>
      <c r="F106" s="37" t="s">
        <v>20</v>
      </c>
      <c r="G106" s="3">
        <f>G107+G108+G109</f>
        <v>231.35499999999999</v>
      </c>
      <c r="H106" s="847" t="s">
        <v>85</v>
      </c>
      <c r="I106" s="18"/>
    </row>
    <row r="107" spans="1:14" ht="15" customHeight="1">
      <c r="A107" s="867"/>
      <c r="B107" s="868"/>
      <c r="C107" s="850"/>
      <c r="D107" s="898"/>
      <c r="E107" s="850"/>
      <c r="F107" s="38" t="s">
        <v>24</v>
      </c>
      <c r="G107" s="5">
        <v>231.35499999999999</v>
      </c>
      <c r="H107" s="847"/>
      <c r="I107" s="18"/>
      <c r="J107" s="202"/>
    </row>
    <row r="108" spans="1:14" ht="15" customHeight="1">
      <c r="A108" s="867"/>
      <c r="B108" s="868"/>
      <c r="C108" s="850"/>
      <c r="D108" s="898"/>
      <c r="E108" s="850"/>
      <c r="F108" s="39" t="s">
        <v>10</v>
      </c>
      <c r="G108" s="19"/>
      <c r="H108" s="847"/>
      <c r="I108" s="18"/>
      <c r="J108" s="202"/>
    </row>
    <row r="109" spans="1:14" ht="15" customHeight="1">
      <c r="A109" s="867"/>
      <c r="B109" s="868"/>
      <c r="C109" s="850"/>
      <c r="D109" s="899"/>
      <c r="E109" s="850"/>
      <c r="F109" s="39" t="s">
        <v>11</v>
      </c>
      <c r="G109" s="5"/>
      <c r="H109" s="847"/>
      <c r="I109" s="18"/>
      <c r="J109" s="202"/>
      <c r="K109" s="18"/>
    </row>
    <row r="110" spans="1:14" ht="15" customHeight="1">
      <c r="A110" s="867" t="s">
        <v>826</v>
      </c>
      <c r="B110" s="868" t="s">
        <v>829</v>
      </c>
      <c r="C110" s="850" t="s">
        <v>190</v>
      </c>
      <c r="D110" s="897">
        <v>1</v>
      </c>
      <c r="E110" s="850" t="s">
        <v>517</v>
      </c>
      <c r="F110" s="37" t="s">
        <v>20</v>
      </c>
      <c r="G110" s="3">
        <f>G111+G112+G113</f>
        <v>572.69000000000005</v>
      </c>
      <c r="H110" s="847" t="s">
        <v>85</v>
      </c>
      <c r="I110" s="18"/>
    </row>
    <row r="111" spans="1:14" ht="15" customHeight="1">
      <c r="A111" s="867"/>
      <c r="B111" s="868"/>
      <c r="C111" s="850"/>
      <c r="D111" s="898"/>
      <c r="E111" s="850"/>
      <c r="F111" s="38" t="s">
        <v>24</v>
      </c>
      <c r="G111" s="5">
        <v>572.69000000000005</v>
      </c>
      <c r="H111" s="847"/>
      <c r="I111" s="18"/>
      <c r="J111" s="202"/>
    </row>
    <row r="112" spans="1:14" ht="15" customHeight="1">
      <c r="A112" s="867"/>
      <c r="B112" s="868"/>
      <c r="C112" s="850"/>
      <c r="D112" s="898"/>
      <c r="E112" s="850"/>
      <c r="F112" s="39" t="s">
        <v>10</v>
      </c>
      <c r="G112" s="19"/>
      <c r="H112" s="847"/>
      <c r="I112" s="18"/>
      <c r="J112" s="202"/>
    </row>
    <row r="113" spans="1:11" ht="15" customHeight="1">
      <c r="A113" s="867"/>
      <c r="B113" s="868"/>
      <c r="C113" s="850"/>
      <c r="D113" s="899"/>
      <c r="E113" s="850"/>
      <c r="F113" s="39" t="s">
        <v>11</v>
      </c>
      <c r="G113" s="5"/>
      <c r="H113" s="847"/>
      <c r="I113" s="18"/>
      <c r="J113" s="202"/>
      <c r="K113" s="18"/>
    </row>
    <row r="114" spans="1:11" ht="15" customHeight="1">
      <c r="A114" s="867" t="s">
        <v>827</v>
      </c>
      <c r="B114" s="868" t="s">
        <v>830</v>
      </c>
      <c r="C114" s="850" t="s">
        <v>190</v>
      </c>
      <c r="D114" s="897">
        <v>1</v>
      </c>
      <c r="E114" s="850" t="s">
        <v>517</v>
      </c>
      <c r="F114" s="37" t="s">
        <v>20</v>
      </c>
      <c r="G114" s="3">
        <f>G115+G116+G117</f>
        <v>500</v>
      </c>
      <c r="H114" s="847" t="s">
        <v>85</v>
      </c>
      <c r="I114" s="18"/>
    </row>
    <row r="115" spans="1:11" ht="15" customHeight="1">
      <c r="A115" s="867"/>
      <c r="B115" s="868"/>
      <c r="C115" s="850"/>
      <c r="D115" s="898"/>
      <c r="E115" s="850"/>
      <c r="F115" s="38" t="s">
        <v>24</v>
      </c>
      <c r="G115" s="5">
        <v>500</v>
      </c>
      <c r="H115" s="847"/>
      <c r="I115" s="18"/>
      <c r="J115" s="202"/>
    </row>
    <row r="116" spans="1:11" ht="15" customHeight="1">
      <c r="A116" s="867"/>
      <c r="B116" s="868"/>
      <c r="C116" s="850"/>
      <c r="D116" s="898"/>
      <c r="E116" s="850"/>
      <c r="F116" s="39" t="s">
        <v>10</v>
      </c>
      <c r="G116" s="19"/>
      <c r="H116" s="847"/>
      <c r="I116" s="18"/>
      <c r="J116" s="202"/>
    </row>
    <row r="117" spans="1:11" ht="15" customHeight="1">
      <c r="A117" s="867"/>
      <c r="B117" s="868"/>
      <c r="C117" s="850"/>
      <c r="D117" s="899"/>
      <c r="E117" s="850"/>
      <c r="F117" s="39" t="s">
        <v>11</v>
      </c>
      <c r="G117" s="5"/>
      <c r="H117" s="847"/>
      <c r="I117" s="18"/>
      <c r="J117" s="202"/>
      <c r="K117" s="18"/>
    </row>
    <row r="118" spans="1:11" ht="15" customHeight="1">
      <c r="A118" s="867" t="s">
        <v>828</v>
      </c>
      <c r="B118" s="868" t="s">
        <v>835</v>
      </c>
      <c r="C118" s="850" t="s">
        <v>190</v>
      </c>
      <c r="D118" s="897">
        <v>20</v>
      </c>
      <c r="E118" s="850" t="s">
        <v>517</v>
      </c>
      <c r="F118" s="37" t="s">
        <v>20</v>
      </c>
      <c r="G118" s="3">
        <f>G119+G120+G121</f>
        <v>514</v>
      </c>
      <c r="H118" s="847" t="s">
        <v>85</v>
      </c>
      <c r="I118" s="18"/>
    </row>
    <row r="119" spans="1:11" ht="15" customHeight="1">
      <c r="A119" s="867"/>
      <c r="B119" s="868"/>
      <c r="C119" s="850"/>
      <c r="D119" s="898"/>
      <c r="E119" s="850"/>
      <c r="F119" s="38" t="s">
        <v>24</v>
      </c>
      <c r="G119" s="5">
        <v>514</v>
      </c>
      <c r="H119" s="847"/>
      <c r="I119" s="18"/>
      <c r="J119" s="202"/>
    </row>
    <row r="120" spans="1:11" ht="15" customHeight="1">
      <c r="A120" s="867"/>
      <c r="B120" s="868"/>
      <c r="C120" s="850"/>
      <c r="D120" s="898"/>
      <c r="E120" s="850"/>
      <c r="F120" s="39" t="s">
        <v>10</v>
      </c>
      <c r="G120" s="19"/>
      <c r="H120" s="847"/>
      <c r="I120" s="18"/>
      <c r="J120" s="202"/>
    </row>
    <row r="121" spans="1:11" ht="15" customHeight="1">
      <c r="A121" s="867"/>
      <c r="B121" s="868"/>
      <c r="C121" s="850"/>
      <c r="D121" s="899"/>
      <c r="E121" s="850"/>
      <c r="F121" s="39" t="s">
        <v>11</v>
      </c>
      <c r="G121" s="5"/>
      <c r="H121" s="847"/>
      <c r="I121" s="18"/>
      <c r="J121" s="202"/>
      <c r="K121" s="18"/>
    </row>
    <row r="122" spans="1:11" ht="15" customHeight="1">
      <c r="A122" s="895" t="s">
        <v>831</v>
      </c>
      <c r="B122" s="896" t="s">
        <v>882</v>
      </c>
      <c r="C122" s="851" t="s">
        <v>190</v>
      </c>
      <c r="D122" s="897">
        <v>1</v>
      </c>
      <c r="E122" s="851" t="s">
        <v>517</v>
      </c>
      <c r="F122" s="336" t="s">
        <v>20</v>
      </c>
      <c r="G122" s="3">
        <f>G123+G124+G125</f>
        <v>630.29</v>
      </c>
      <c r="H122" s="847" t="s">
        <v>84</v>
      </c>
      <c r="I122" s="18"/>
    </row>
    <row r="123" spans="1:11" ht="15" customHeight="1">
      <c r="A123" s="895"/>
      <c r="B123" s="896"/>
      <c r="C123" s="851"/>
      <c r="D123" s="898"/>
      <c r="E123" s="851"/>
      <c r="F123" s="337" t="s">
        <v>24</v>
      </c>
      <c r="G123" s="9">
        <v>630.29</v>
      </c>
      <c r="H123" s="847"/>
      <c r="I123" s="18"/>
      <c r="J123" s="202"/>
    </row>
    <row r="124" spans="1:11" ht="15" customHeight="1">
      <c r="A124" s="895"/>
      <c r="B124" s="896"/>
      <c r="C124" s="851"/>
      <c r="D124" s="898"/>
      <c r="E124" s="851"/>
      <c r="F124" s="338" t="s">
        <v>10</v>
      </c>
      <c r="G124" s="210"/>
      <c r="H124" s="847"/>
      <c r="I124" s="18"/>
      <c r="J124" s="202"/>
    </row>
    <row r="125" spans="1:11" ht="15" customHeight="1">
      <c r="A125" s="895"/>
      <c r="B125" s="896"/>
      <c r="C125" s="851"/>
      <c r="D125" s="899"/>
      <c r="E125" s="851"/>
      <c r="F125" s="338" t="s">
        <v>11</v>
      </c>
      <c r="G125" s="9"/>
      <c r="H125" s="847"/>
      <c r="I125" s="18"/>
      <c r="J125" s="202"/>
      <c r="K125" s="18"/>
    </row>
    <row r="126" spans="1:11" ht="15" customHeight="1">
      <c r="A126" s="895" t="s">
        <v>880</v>
      </c>
      <c r="B126" s="896" t="s">
        <v>881</v>
      </c>
      <c r="C126" s="851" t="s">
        <v>190</v>
      </c>
      <c r="D126" s="897">
        <v>1</v>
      </c>
      <c r="E126" s="851" t="s">
        <v>517</v>
      </c>
      <c r="F126" s="336" t="s">
        <v>20</v>
      </c>
      <c r="G126" s="3">
        <f>G127+G128+G129</f>
        <v>590</v>
      </c>
      <c r="H126" s="847" t="s">
        <v>85</v>
      </c>
      <c r="I126" s="18"/>
    </row>
    <row r="127" spans="1:11" ht="15" customHeight="1">
      <c r="A127" s="895"/>
      <c r="B127" s="896"/>
      <c r="C127" s="851"/>
      <c r="D127" s="898"/>
      <c r="E127" s="851"/>
      <c r="F127" s="337" t="s">
        <v>24</v>
      </c>
      <c r="G127" s="9">
        <v>590</v>
      </c>
      <c r="H127" s="847"/>
      <c r="I127" s="18"/>
      <c r="J127" s="202"/>
    </row>
    <row r="128" spans="1:11" ht="15" customHeight="1">
      <c r="A128" s="895"/>
      <c r="B128" s="896"/>
      <c r="C128" s="851"/>
      <c r="D128" s="898"/>
      <c r="E128" s="851"/>
      <c r="F128" s="338" t="s">
        <v>10</v>
      </c>
      <c r="G128" s="210"/>
      <c r="H128" s="847"/>
      <c r="I128" s="18"/>
      <c r="J128" s="202"/>
    </row>
    <row r="129" spans="1:11" ht="15" customHeight="1">
      <c r="A129" s="895"/>
      <c r="B129" s="896"/>
      <c r="C129" s="851"/>
      <c r="D129" s="899"/>
      <c r="E129" s="851"/>
      <c r="F129" s="338" t="s">
        <v>11</v>
      </c>
      <c r="G129" s="9"/>
      <c r="H129" s="847"/>
      <c r="I129" s="18"/>
      <c r="J129" s="202"/>
      <c r="K129" s="18"/>
    </row>
    <row r="130" spans="1:11" ht="15" customHeight="1">
      <c r="A130" s="895" t="s">
        <v>893</v>
      </c>
      <c r="B130" s="896" t="s">
        <v>881</v>
      </c>
      <c r="C130" s="851" t="s">
        <v>190</v>
      </c>
      <c r="D130" s="897">
        <v>1</v>
      </c>
      <c r="E130" s="851" t="s">
        <v>517</v>
      </c>
      <c r="F130" s="336" t="s">
        <v>20</v>
      </c>
      <c r="G130" s="3">
        <f>G131+G132+G133</f>
        <v>478.30160999999998</v>
      </c>
      <c r="H130" s="847" t="s">
        <v>85</v>
      </c>
      <c r="I130" s="18"/>
    </row>
    <row r="131" spans="1:11" ht="15" customHeight="1">
      <c r="A131" s="895"/>
      <c r="B131" s="896"/>
      <c r="C131" s="851"/>
      <c r="D131" s="898"/>
      <c r="E131" s="851"/>
      <c r="F131" s="337" t="s">
        <v>24</v>
      </c>
      <c r="G131" s="9">
        <v>478.30160999999998</v>
      </c>
      <c r="H131" s="847"/>
      <c r="I131" s="18"/>
      <c r="J131" s="202"/>
    </row>
    <row r="132" spans="1:11" ht="15" customHeight="1">
      <c r="A132" s="895"/>
      <c r="B132" s="896"/>
      <c r="C132" s="851"/>
      <c r="D132" s="898"/>
      <c r="E132" s="851"/>
      <c r="F132" s="338" t="s">
        <v>10</v>
      </c>
      <c r="G132" s="210"/>
      <c r="H132" s="847"/>
      <c r="I132" s="18"/>
      <c r="J132" s="202"/>
    </row>
    <row r="133" spans="1:11" ht="15" customHeight="1">
      <c r="A133" s="895"/>
      <c r="B133" s="896"/>
      <c r="C133" s="851"/>
      <c r="D133" s="899"/>
      <c r="E133" s="851"/>
      <c r="F133" s="338" t="s">
        <v>11</v>
      </c>
      <c r="G133" s="9"/>
      <c r="H133" s="847"/>
      <c r="I133" s="18"/>
      <c r="J133" s="202"/>
      <c r="K133" s="18"/>
    </row>
    <row r="134" spans="1:11">
      <c r="F134" s="20"/>
      <c r="G134" s="20"/>
    </row>
    <row r="135" spans="1:11">
      <c r="F135" s="20"/>
      <c r="G135" s="20"/>
    </row>
    <row r="136" spans="1:11">
      <c r="F136" s="20"/>
      <c r="G136" s="20"/>
    </row>
    <row r="137" spans="1:11">
      <c r="F137" s="20"/>
      <c r="G137" s="20"/>
    </row>
    <row r="138" spans="1:11">
      <c r="F138" s="20"/>
      <c r="G138" s="20"/>
    </row>
    <row r="139" spans="1:11">
      <c r="F139" s="20"/>
      <c r="G139" s="20"/>
    </row>
    <row r="140" spans="1:11">
      <c r="F140" s="20"/>
      <c r="G140" s="20"/>
    </row>
    <row r="141" spans="1:11">
      <c r="F141" s="20"/>
      <c r="G141" s="20"/>
    </row>
    <row r="142" spans="1:11">
      <c r="F142" s="20"/>
      <c r="G142" s="20"/>
    </row>
    <row r="143" spans="1:11">
      <c r="F143" s="20"/>
      <c r="G143" s="20"/>
    </row>
    <row r="144" spans="1:11">
      <c r="F144" s="20"/>
      <c r="G144" s="20"/>
    </row>
    <row r="145" spans="6:7">
      <c r="F145" s="20"/>
      <c r="G145" s="20"/>
    </row>
  </sheetData>
  <mergeCells count="202">
    <mergeCell ref="B1:E1"/>
    <mergeCell ref="G1:H1"/>
    <mergeCell ref="A2:H2"/>
    <mergeCell ref="A4:A5"/>
    <mergeCell ref="B4:B5"/>
    <mergeCell ref="C4:D4"/>
    <mergeCell ref="E4:E5"/>
    <mergeCell ref="F4:F5"/>
    <mergeCell ref="G4:G5"/>
    <mergeCell ref="H4:H5"/>
    <mergeCell ref="A10:A13"/>
    <mergeCell ref="B10:B13"/>
    <mergeCell ref="C10:C13"/>
    <mergeCell ref="D10:D13"/>
    <mergeCell ref="E10:E13"/>
    <mergeCell ref="H10:H13"/>
    <mergeCell ref="A6:A9"/>
    <mergeCell ref="B6:B9"/>
    <mergeCell ref="C6:C9"/>
    <mergeCell ref="D6:D9"/>
    <mergeCell ref="E6:E9"/>
    <mergeCell ref="H6:H9"/>
    <mergeCell ref="A18:A21"/>
    <mergeCell ref="B18:B21"/>
    <mergeCell ref="C18:C21"/>
    <mergeCell ref="D18:D21"/>
    <mergeCell ref="E18:E21"/>
    <mergeCell ref="H18:H21"/>
    <mergeCell ref="A14:A17"/>
    <mergeCell ref="B14:B17"/>
    <mergeCell ref="C14:C17"/>
    <mergeCell ref="D14:D17"/>
    <mergeCell ref="E14:E17"/>
    <mergeCell ref="H14:H17"/>
    <mergeCell ref="A26:A29"/>
    <mergeCell ref="B26:B29"/>
    <mergeCell ref="C26:C29"/>
    <mergeCell ref="D26:D29"/>
    <mergeCell ref="E26:E29"/>
    <mergeCell ref="H26:H29"/>
    <mergeCell ref="A22:A25"/>
    <mergeCell ref="B22:B25"/>
    <mergeCell ref="C22:C25"/>
    <mergeCell ref="D22:D25"/>
    <mergeCell ref="E22:E25"/>
    <mergeCell ref="H22:H25"/>
    <mergeCell ref="A34:A37"/>
    <mergeCell ref="B34:B37"/>
    <mergeCell ref="C34:C37"/>
    <mergeCell ref="D34:D37"/>
    <mergeCell ref="E34:E37"/>
    <mergeCell ref="H34:H37"/>
    <mergeCell ref="A30:A33"/>
    <mergeCell ref="B30:B33"/>
    <mergeCell ref="C30:C33"/>
    <mergeCell ref="D30:D33"/>
    <mergeCell ref="E30:E33"/>
    <mergeCell ref="H30:H33"/>
    <mergeCell ref="A42:A45"/>
    <mergeCell ref="B42:B45"/>
    <mergeCell ref="C42:C45"/>
    <mergeCell ref="D42:D45"/>
    <mergeCell ref="E42:E45"/>
    <mergeCell ref="H42:H45"/>
    <mergeCell ref="A38:A41"/>
    <mergeCell ref="B38:B41"/>
    <mergeCell ref="C38:C41"/>
    <mergeCell ref="D38:D41"/>
    <mergeCell ref="E38:E41"/>
    <mergeCell ref="H38:H41"/>
    <mergeCell ref="A50:A53"/>
    <mergeCell ref="B50:B53"/>
    <mergeCell ref="C50:C53"/>
    <mergeCell ref="D50:D53"/>
    <mergeCell ref="E50:E53"/>
    <mergeCell ref="H50:H53"/>
    <mergeCell ref="A46:A49"/>
    <mergeCell ref="B46:B49"/>
    <mergeCell ref="C46:C49"/>
    <mergeCell ref="D46:D49"/>
    <mergeCell ref="E46:E49"/>
    <mergeCell ref="H46:H49"/>
    <mergeCell ref="A58:A61"/>
    <mergeCell ref="B58:B61"/>
    <mergeCell ref="C58:C61"/>
    <mergeCell ref="D58:D61"/>
    <mergeCell ref="E58:E61"/>
    <mergeCell ref="H58:H61"/>
    <mergeCell ref="A54:A57"/>
    <mergeCell ref="B54:B57"/>
    <mergeCell ref="C54:C57"/>
    <mergeCell ref="D54:D57"/>
    <mergeCell ref="E54:E57"/>
    <mergeCell ref="H54:H57"/>
    <mergeCell ref="A70:A73"/>
    <mergeCell ref="B70:B73"/>
    <mergeCell ref="C70:C73"/>
    <mergeCell ref="D70:D73"/>
    <mergeCell ref="E70:E73"/>
    <mergeCell ref="H70:H73"/>
    <mergeCell ref="A62:A65"/>
    <mergeCell ref="B62:B65"/>
    <mergeCell ref="C62:C65"/>
    <mergeCell ref="D62:D65"/>
    <mergeCell ref="E62:E65"/>
    <mergeCell ref="H62:H65"/>
    <mergeCell ref="A78:A81"/>
    <mergeCell ref="B78:B81"/>
    <mergeCell ref="C78:C81"/>
    <mergeCell ref="D78:D81"/>
    <mergeCell ref="E78:E81"/>
    <mergeCell ref="H78:H81"/>
    <mergeCell ref="A74:A77"/>
    <mergeCell ref="B74:B77"/>
    <mergeCell ref="C74:C77"/>
    <mergeCell ref="D74:D77"/>
    <mergeCell ref="E74:E77"/>
    <mergeCell ref="H74:H77"/>
    <mergeCell ref="A86:A89"/>
    <mergeCell ref="B86:B89"/>
    <mergeCell ref="C86:C89"/>
    <mergeCell ref="D86:D89"/>
    <mergeCell ref="E86:E89"/>
    <mergeCell ref="H86:H89"/>
    <mergeCell ref="A82:A85"/>
    <mergeCell ref="B82:B85"/>
    <mergeCell ref="C82:C85"/>
    <mergeCell ref="D82:D85"/>
    <mergeCell ref="E82:E85"/>
    <mergeCell ref="H82:H85"/>
    <mergeCell ref="A94:A97"/>
    <mergeCell ref="B94:B97"/>
    <mergeCell ref="C94:C97"/>
    <mergeCell ref="D94:D97"/>
    <mergeCell ref="E94:E97"/>
    <mergeCell ref="H94:H97"/>
    <mergeCell ref="A90:A93"/>
    <mergeCell ref="B90:B93"/>
    <mergeCell ref="C90:C93"/>
    <mergeCell ref="D90:D93"/>
    <mergeCell ref="E90:E93"/>
    <mergeCell ref="H90:H93"/>
    <mergeCell ref="A106:A109"/>
    <mergeCell ref="B106:B109"/>
    <mergeCell ref="C106:C109"/>
    <mergeCell ref="D106:D109"/>
    <mergeCell ref="E106:E109"/>
    <mergeCell ref="H106:H109"/>
    <mergeCell ref="A66:A69"/>
    <mergeCell ref="B66:B69"/>
    <mergeCell ref="C66:C69"/>
    <mergeCell ref="D66:D69"/>
    <mergeCell ref="E66:E69"/>
    <mergeCell ref="H66:H69"/>
    <mergeCell ref="A102:A105"/>
    <mergeCell ref="B102:B105"/>
    <mergeCell ref="C102:C105"/>
    <mergeCell ref="D102:D105"/>
    <mergeCell ref="E102:E105"/>
    <mergeCell ref="H102:H105"/>
    <mergeCell ref="A98:A101"/>
    <mergeCell ref="B98:B101"/>
    <mergeCell ref="C98:C101"/>
    <mergeCell ref="D98:D101"/>
    <mergeCell ref="E98:E101"/>
    <mergeCell ref="H98:H101"/>
    <mergeCell ref="A114:A117"/>
    <mergeCell ref="B114:B117"/>
    <mergeCell ref="C114:C117"/>
    <mergeCell ref="D114:D117"/>
    <mergeCell ref="E114:E117"/>
    <mergeCell ref="H114:H117"/>
    <mergeCell ref="A110:A113"/>
    <mergeCell ref="B110:B113"/>
    <mergeCell ref="C110:C113"/>
    <mergeCell ref="D110:D113"/>
    <mergeCell ref="E110:E113"/>
    <mergeCell ref="H110:H113"/>
    <mergeCell ref="A122:A125"/>
    <mergeCell ref="B122:B125"/>
    <mergeCell ref="C122:C125"/>
    <mergeCell ref="D122:D125"/>
    <mergeCell ref="E122:E125"/>
    <mergeCell ref="H122:H125"/>
    <mergeCell ref="A118:A121"/>
    <mergeCell ref="B118:B121"/>
    <mergeCell ref="C118:C121"/>
    <mergeCell ref="D118:D121"/>
    <mergeCell ref="E118:E121"/>
    <mergeCell ref="H118:H121"/>
    <mergeCell ref="A126:A129"/>
    <mergeCell ref="B126:B129"/>
    <mergeCell ref="C126:C129"/>
    <mergeCell ref="D126:D129"/>
    <mergeCell ref="E126:E129"/>
    <mergeCell ref="H126:H129"/>
    <mergeCell ref="A130:A133"/>
    <mergeCell ref="B130:B133"/>
    <mergeCell ref="C130:C133"/>
    <mergeCell ref="D130:D133"/>
    <mergeCell ref="E130:E133"/>
    <mergeCell ref="H130:H133"/>
  </mergeCells>
  <pageMargins left="0.78740157480314965" right="0.39370078740157483" top="3.937007874015748E-2" bottom="3.937007874015748E-2" header="0.31496062992125984" footer="0.31496062992125984"/>
  <pageSetup paperSize="9" scale="7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90"/>
  <sheetViews>
    <sheetView view="pageBreakPreview" topLeftCell="A55" zoomScale="80" zoomScaleNormal="70" zoomScaleSheetLayoutView="80" workbookViewId="0">
      <selection activeCell="B81" sqref="B81:B85"/>
    </sheetView>
  </sheetViews>
  <sheetFormatPr defaultColWidth="8.88671875" defaultRowHeight="13.8"/>
  <cols>
    <col min="1" max="1" width="6.33203125" style="10" customWidth="1"/>
    <col min="2" max="2" width="54.88671875" style="10" customWidth="1"/>
    <col min="3" max="3" width="9.6640625" style="10" customWidth="1"/>
    <col min="4" max="4" width="9.5546875" style="10" customWidth="1"/>
    <col min="5" max="5" width="10.33203125" style="10" customWidth="1"/>
    <col min="6" max="6" width="21.33203125" style="10" customWidth="1"/>
    <col min="7" max="7" width="24.33203125" style="10" customWidth="1"/>
    <col min="8" max="8" width="31.88671875" style="10" customWidth="1"/>
    <col min="9" max="9" width="17.88671875" style="10" customWidth="1"/>
    <col min="10" max="10" width="15.6640625" style="10" customWidth="1"/>
    <col min="11" max="11" width="19" style="10" customWidth="1"/>
    <col min="12" max="12" width="15.44140625" style="10" customWidth="1"/>
    <col min="13" max="13" width="14" style="10" customWidth="1"/>
    <col min="14" max="14" width="17.88671875" style="195" customWidth="1"/>
    <col min="15" max="15" width="3.44140625" style="10" customWidth="1"/>
    <col min="16" max="16" width="14.88671875" style="10" customWidth="1"/>
    <col min="17" max="17" width="8.88671875" style="10"/>
    <col min="18" max="18" width="14" style="10" customWidth="1"/>
    <col min="19" max="16384" width="8.88671875" style="10"/>
  </cols>
  <sheetData>
    <row r="1" spans="1:15" ht="51.6" customHeight="1">
      <c r="B1" s="869"/>
      <c r="C1" s="869"/>
      <c r="D1" s="869"/>
      <c r="E1" s="869"/>
      <c r="F1" s="7"/>
      <c r="G1" s="906" t="s">
        <v>934</v>
      </c>
      <c r="H1" s="906"/>
      <c r="I1" s="6"/>
    </row>
    <row r="2" spans="1:15" ht="30" customHeight="1">
      <c r="A2" s="838" t="s">
        <v>963</v>
      </c>
      <c r="B2" s="838"/>
      <c r="C2" s="838"/>
      <c r="D2" s="838"/>
      <c r="E2" s="838"/>
      <c r="F2" s="838"/>
      <c r="G2" s="838"/>
      <c r="H2" s="838"/>
    </row>
    <row r="3" spans="1:15" ht="13.95" customHeight="1">
      <c r="A3" s="445"/>
      <c r="B3" s="445"/>
      <c r="C3" s="445"/>
      <c r="D3" s="445"/>
      <c r="E3" s="445"/>
      <c r="F3" s="445"/>
      <c r="G3" s="445"/>
      <c r="H3" s="8" t="s">
        <v>22</v>
      </c>
    </row>
    <row r="4" spans="1:15" ht="25.95" customHeight="1">
      <c r="A4" s="870" t="s">
        <v>0</v>
      </c>
      <c r="B4" s="841" t="s">
        <v>6</v>
      </c>
      <c r="C4" s="841" t="s">
        <v>17</v>
      </c>
      <c r="D4" s="841"/>
      <c r="E4" s="841" t="s">
        <v>8</v>
      </c>
      <c r="F4" s="841" t="s">
        <v>19</v>
      </c>
      <c r="G4" s="841" t="s">
        <v>878</v>
      </c>
      <c r="H4" s="841" t="s">
        <v>23</v>
      </c>
    </row>
    <row r="5" spans="1:15" ht="30.6" customHeight="1">
      <c r="A5" s="870"/>
      <c r="B5" s="841"/>
      <c r="C5" s="537" t="s">
        <v>7</v>
      </c>
      <c r="D5" s="537" t="s">
        <v>18</v>
      </c>
      <c r="E5" s="841"/>
      <c r="F5" s="841"/>
      <c r="G5" s="841"/>
      <c r="H5" s="841"/>
      <c r="I5" s="18"/>
    </row>
    <row r="6" spans="1:15" ht="18" customHeight="1">
      <c r="A6" s="815"/>
      <c r="B6" s="918" t="s">
        <v>569</v>
      </c>
      <c r="C6" s="818" t="s">
        <v>9</v>
      </c>
      <c r="D6" s="818" t="s">
        <v>9</v>
      </c>
      <c r="E6" s="818" t="s">
        <v>9</v>
      </c>
      <c r="F6" s="431" t="s">
        <v>20</v>
      </c>
      <c r="G6" s="4">
        <f>G11+G66+G71</f>
        <v>35356.36591</v>
      </c>
      <c r="H6" s="920" t="s">
        <v>9</v>
      </c>
      <c r="I6" s="200"/>
      <c r="J6" s="15"/>
      <c r="K6" s="240"/>
      <c r="M6" s="18"/>
    </row>
    <row r="7" spans="1:15" ht="18" customHeight="1">
      <c r="A7" s="815"/>
      <c r="B7" s="918"/>
      <c r="C7" s="818"/>
      <c r="D7" s="818"/>
      <c r="E7" s="818"/>
      <c r="F7" s="431" t="s">
        <v>24</v>
      </c>
      <c r="G7" s="4">
        <f>G12+G67</f>
        <v>11725.551149999999</v>
      </c>
      <c r="H7" s="920"/>
      <c r="I7" s="18"/>
      <c r="J7" s="18"/>
      <c r="K7" s="18"/>
      <c r="M7" s="200"/>
    </row>
    <row r="8" spans="1:15" ht="18" customHeight="1">
      <c r="A8" s="815"/>
      <c r="B8" s="919"/>
      <c r="C8" s="818"/>
      <c r="D8" s="818"/>
      <c r="E8" s="818"/>
      <c r="F8" s="431" t="s">
        <v>10</v>
      </c>
      <c r="G8" s="4">
        <f t="shared" ref="G8" si="0">G13+G68</f>
        <v>841.2367999999999</v>
      </c>
      <c r="H8" s="920"/>
      <c r="I8" s="18"/>
      <c r="J8" s="18"/>
      <c r="K8" s="18"/>
    </row>
    <row r="9" spans="1:15" ht="18" customHeight="1">
      <c r="A9" s="815"/>
      <c r="B9" s="919"/>
      <c r="C9" s="818"/>
      <c r="D9" s="818"/>
      <c r="E9" s="818"/>
      <c r="F9" s="431" t="s">
        <v>971</v>
      </c>
      <c r="G9" s="4">
        <f>G14+G69+G74</f>
        <v>3583.0586800000001</v>
      </c>
      <c r="H9" s="920"/>
      <c r="I9" s="18"/>
      <c r="K9" s="18"/>
    </row>
    <row r="10" spans="1:15" ht="18" customHeight="1">
      <c r="A10" s="815"/>
      <c r="B10" s="919"/>
      <c r="C10" s="818"/>
      <c r="D10" s="818"/>
      <c r="E10" s="818"/>
      <c r="F10" s="431" t="s">
        <v>1062</v>
      </c>
      <c r="G10" s="4">
        <f>G15+G70+G75</f>
        <v>19206.51928</v>
      </c>
      <c r="H10" s="920"/>
      <c r="J10" s="145"/>
      <c r="K10" s="18"/>
      <c r="M10" s="18"/>
    </row>
    <row r="11" spans="1:15" ht="18" customHeight="1">
      <c r="A11" s="819" t="s">
        <v>3</v>
      </c>
      <c r="B11" s="918" t="s">
        <v>656</v>
      </c>
      <c r="C11" s="817" t="s">
        <v>9</v>
      </c>
      <c r="D11" s="817" t="s">
        <v>9</v>
      </c>
      <c r="E11" s="817" t="s">
        <v>579</v>
      </c>
      <c r="F11" s="431" t="s">
        <v>20</v>
      </c>
      <c r="G11" s="2">
        <f>SUM(G12:G15)</f>
        <v>31857.430910000003</v>
      </c>
      <c r="H11" s="815" t="s">
        <v>9</v>
      </c>
      <c r="I11" s="200"/>
      <c r="M11" s="18"/>
    </row>
    <row r="12" spans="1:15" ht="18" customHeight="1">
      <c r="A12" s="819"/>
      <c r="B12" s="918"/>
      <c r="C12" s="817"/>
      <c r="D12" s="817"/>
      <c r="E12" s="817"/>
      <c r="F12" s="431" t="s">
        <v>24</v>
      </c>
      <c r="G12" s="2">
        <f>G17+G32</f>
        <v>11725.551149999999</v>
      </c>
      <c r="H12" s="815"/>
      <c r="I12" s="18"/>
      <c r="J12" s="242"/>
    </row>
    <row r="13" spans="1:15" ht="18" customHeight="1">
      <c r="A13" s="819"/>
      <c r="B13" s="918"/>
      <c r="C13" s="817"/>
      <c r="D13" s="817"/>
      <c r="E13" s="817"/>
      <c r="F13" s="431" t="s">
        <v>10</v>
      </c>
      <c r="G13" s="2">
        <f t="shared" ref="G13:G15" si="1">G18+G33</f>
        <v>841.2367999999999</v>
      </c>
      <c r="H13" s="815"/>
      <c r="I13" s="18"/>
      <c r="J13" s="242"/>
      <c r="N13" s="333"/>
      <c r="O13" s="241"/>
    </row>
    <row r="14" spans="1:15" ht="18" customHeight="1">
      <c r="A14" s="819"/>
      <c r="B14" s="918"/>
      <c r="C14" s="817"/>
      <c r="D14" s="817"/>
      <c r="E14" s="817"/>
      <c r="F14" s="431" t="s">
        <v>971</v>
      </c>
      <c r="G14" s="2">
        <f t="shared" si="1"/>
        <v>84.123680000000007</v>
      </c>
      <c r="H14" s="815"/>
      <c r="I14" s="18"/>
      <c r="J14" s="242"/>
      <c r="N14" s="333"/>
      <c r="O14" s="241"/>
    </row>
    <row r="15" spans="1:15" ht="18" customHeight="1">
      <c r="A15" s="819"/>
      <c r="B15" s="918"/>
      <c r="C15" s="817"/>
      <c r="D15" s="817"/>
      <c r="E15" s="817"/>
      <c r="F15" s="431" t="s">
        <v>972</v>
      </c>
      <c r="G15" s="2">
        <f t="shared" si="1"/>
        <v>19206.51928</v>
      </c>
      <c r="H15" s="815"/>
      <c r="I15" s="126"/>
      <c r="J15" s="242"/>
    </row>
    <row r="16" spans="1:15" ht="16.95" customHeight="1">
      <c r="A16" s="821" t="s">
        <v>25</v>
      </c>
      <c r="B16" s="876" t="s">
        <v>407</v>
      </c>
      <c r="C16" s="817" t="s">
        <v>27</v>
      </c>
      <c r="D16" s="922">
        <f>D21+D26</f>
        <v>1626.6</v>
      </c>
      <c r="E16" s="817" t="s">
        <v>579</v>
      </c>
      <c r="F16" s="431" t="s">
        <v>20</v>
      </c>
      <c r="G16" s="3">
        <f>SUM(G17:G20)</f>
        <v>6439.3270000000011</v>
      </c>
      <c r="H16" s="916" t="s">
        <v>84</v>
      </c>
      <c r="I16" s="200"/>
      <c r="K16" s="200"/>
    </row>
    <row r="17" spans="1:19" ht="16.95" customHeight="1">
      <c r="A17" s="821"/>
      <c r="B17" s="876"/>
      <c r="C17" s="817"/>
      <c r="D17" s="922"/>
      <c r="E17" s="817"/>
      <c r="F17" s="431" t="s">
        <v>24</v>
      </c>
      <c r="G17" s="432">
        <f>G22+G27</f>
        <v>5968.3175600000004</v>
      </c>
      <c r="H17" s="916"/>
      <c r="I17" s="18"/>
      <c r="K17" s="200"/>
    </row>
    <row r="18" spans="1:19" ht="16.95" customHeight="1">
      <c r="A18" s="821"/>
      <c r="B18" s="876"/>
      <c r="C18" s="817"/>
      <c r="D18" s="922"/>
      <c r="E18" s="817"/>
      <c r="F18" s="431" t="s">
        <v>10</v>
      </c>
      <c r="G18" s="432">
        <f>G23+G28</f>
        <v>428.19039999999995</v>
      </c>
      <c r="H18" s="916"/>
      <c r="I18" s="249"/>
      <c r="J18" s="15"/>
      <c r="K18" s="200"/>
      <c r="N18" s="333"/>
      <c r="O18" s="241"/>
    </row>
    <row r="19" spans="1:19" ht="16.95" customHeight="1">
      <c r="A19" s="821"/>
      <c r="B19" s="876"/>
      <c r="C19" s="817"/>
      <c r="D19" s="922"/>
      <c r="E19" s="817"/>
      <c r="F19" s="431" t="s">
        <v>971</v>
      </c>
      <c r="G19" s="432">
        <f>G24+G29</f>
        <v>42.819040000000001</v>
      </c>
      <c r="H19" s="916"/>
      <c r="I19" s="249"/>
      <c r="J19" s="15"/>
      <c r="K19" s="200"/>
      <c r="N19" s="333"/>
      <c r="O19" s="241"/>
    </row>
    <row r="20" spans="1:19" ht="16.95" customHeight="1">
      <c r="A20" s="821"/>
      <c r="B20" s="876"/>
      <c r="C20" s="817"/>
      <c r="D20" s="922"/>
      <c r="E20" s="817"/>
      <c r="F20" s="431" t="s">
        <v>972</v>
      </c>
      <c r="G20" s="432">
        <f>G25+G30</f>
        <v>0</v>
      </c>
      <c r="H20" s="916"/>
      <c r="I20" s="345"/>
      <c r="J20" s="145"/>
      <c r="K20" s="200"/>
      <c r="M20" s="200"/>
      <c r="N20" s="334"/>
      <c r="O20" s="181"/>
      <c r="P20" s="246"/>
    </row>
    <row r="21" spans="1:19" ht="16.95" customHeight="1">
      <c r="A21" s="867" t="s">
        <v>12</v>
      </c>
      <c r="B21" s="868" t="s">
        <v>840</v>
      </c>
      <c r="C21" s="850" t="s">
        <v>27</v>
      </c>
      <c r="D21" s="874">
        <v>521.6</v>
      </c>
      <c r="E21" s="850" t="s">
        <v>579</v>
      </c>
      <c r="F21" s="37" t="s">
        <v>20</v>
      </c>
      <c r="G21" s="3">
        <v>2051.1280000000002</v>
      </c>
      <c r="H21" s="847" t="s">
        <v>84</v>
      </c>
      <c r="I21" s="360"/>
      <c r="J21" s="15"/>
    </row>
    <row r="22" spans="1:19" ht="16.95" customHeight="1">
      <c r="A22" s="867"/>
      <c r="B22" s="868"/>
      <c r="C22" s="850"/>
      <c r="D22" s="874"/>
      <c r="E22" s="850"/>
      <c r="F22" s="38" t="s">
        <v>24</v>
      </c>
      <c r="G22" s="213">
        <v>1901.0966900000001</v>
      </c>
      <c r="H22" s="847"/>
      <c r="I22" s="145"/>
      <c r="J22" s="15"/>
    </row>
    <row r="23" spans="1:19" ht="16.95" customHeight="1">
      <c r="A23" s="867"/>
      <c r="B23" s="868"/>
      <c r="C23" s="850"/>
      <c r="D23" s="874"/>
      <c r="E23" s="850"/>
      <c r="F23" s="39" t="s">
        <v>10</v>
      </c>
      <c r="G23" s="213">
        <v>136.3921</v>
      </c>
      <c r="H23" s="847"/>
      <c r="I23" s="145"/>
      <c r="J23" s="15"/>
      <c r="K23" s="18"/>
    </row>
    <row r="24" spans="1:19" ht="16.95" customHeight="1">
      <c r="A24" s="867"/>
      <c r="B24" s="868"/>
      <c r="C24" s="850"/>
      <c r="D24" s="874"/>
      <c r="E24" s="850"/>
      <c r="F24" s="39" t="s">
        <v>971</v>
      </c>
      <c r="G24" s="5">
        <v>13.63921</v>
      </c>
      <c r="H24" s="847"/>
      <c r="I24" s="145"/>
      <c r="J24" s="15"/>
      <c r="K24" s="18"/>
    </row>
    <row r="25" spans="1:19" ht="16.95" customHeight="1">
      <c r="A25" s="867"/>
      <c r="B25" s="868"/>
      <c r="C25" s="850"/>
      <c r="D25" s="874"/>
      <c r="E25" s="850"/>
      <c r="F25" s="39" t="s">
        <v>972</v>
      </c>
      <c r="G25" s="5">
        <v>0</v>
      </c>
      <c r="H25" s="847"/>
      <c r="I25" s="201"/>
      <c r="J25" s="15"/>
      <c r="K25" s="18"/>
    </row>
    <row r="26" spans="1:19" ht="16.95" customHeight="1">
      <c r="A26" s="867" t="s">
        <v>518</v>
      </c>
      <c r="B26" s="868" t="s">
        <v>841</v>
      </c>
      <c r="C26" s="850" t="s">
        <v>27</v>
      </c>
      <c r="D26" s="874">
        <v>1105</v>
      </c>
      <c r="E26" s="850" t="s">
        <v>579</v>
      </c>
      <c r="F26" s="37" t="s">
        <v>20</v>
      </c>
      <c r="G26" s="3">
        <v>4388.1989999999996</v>
      </c>
      <c r="H26" s="847" t="s">
        <v>84</v>
      </c>
      <c r="I26" s="201"/>
      <c r="J26" s="15"/>
      <c r="O26" s="339"/>
      <c r="P26" s="339"/>
      <c r="Q26" s="340"/>
      <c r="R26" s="339"/>
      <c r="S26" s="339"/>
    </row>
    <row r="27" spans="1:19" ht="16.95" customHeight="1">
      <c r="A27" s="867"/>
      <c r="B27" s="868"/>
      <c r="C27" s="850"/>
      <c r="D27" s="874"/>
      <c r="E27" s="850"/>
      <c r="F27" s="38" t="s">
        <v>24</v>
      </c>
      <c r="G27" s="213">
        <v>4067.2208700000001</v>
      </c>
      <c r="H27" s="847"/>
      <c r="I27" s="201"/>
      <c r="J27" s="15"/>
      <c r="M27" s="18"/>
      <c r="O27" s="339"/>
      <c r="P27" s="339"/>
      <c r="Q27" s="339"/>
      <c r="R27" s="339"/>
      <c r="S27" s="339"/>
    </row>
    <row r="28" spans="1:19" ht="16.95" customHeight="1">
      <c r="A28" s="867"/>
      <c r="B28" s="868"/>
      <c r="C28" s="850"/>
      <c r="D28" s="874"/>
      <c r="E28" s="850"/>
      <c r="F28" s="39" t="s">
        <v>10</v>
      </c>
      <c r="G28" s="213">
        <v>291.79829999999998</v>
      </c>
      <c r="H28" s="847"/>
      <c r="I28" s="343"/>
      <c r="J28" s="15"/>
      <c r="N28" s="333"/>
      <c r="O28" s="341"/>
      <c r="P28" s="339"/>
      <c r="Q28" s="339"/>
      <c r="R28" s="339"/>
      <c r="S28" s="339"/>
    </row>
    <row r="29" spans="1:19" ht="16.95" customHeight="1">
      <c r="A29" s="867"/>
      <c r="B29" s="868"/>
      <c r="C29" s="850"/>
      <c r="D29" s="874"/>
      <c r="E29" s="850"/>
      <c r="F29" s="39" t="s">
        <v>971</v>
      </c>
      <c r="G29" s="213">
        <v>29.179829999999999</v>
      </c>
      <c r="H29" s="847"/>
      <c r="I29" s="343"/>
      <c r="J29" s="15"/>
      <c r="N29" s="333"/>
      <c r="O29" s="341"/>
      <c r="P29" s="339"/>
      <c r="Q29" s="339"/>
      <c r="R29" s="339"/>
      <c r="S29" s="339"/>
    </row>
    <row r="30" spans="1:19" ht="16.95" customHeight="1">
      <c r="A30" s="867"/>
      <c r="B30" s="868"/>
      <c r="C30" s="850"/>
      <c r="D30" s="874"/>
      <c r="E30" s="850"/>
      <c r="F30" s="39" t="s">
        <v>1062</v>
      </c>
      <c r="G30" s="5">
        <v>0</v>
      </c>
      <c r="H30" s="847"/>
      <c r="I30" s="344"/>
      <c r="J30" s="145"/>
      <c r="K30" s="126"/>
      <c r="M30" s="18"/>
      <c r="O30" s="339"/>
      <c r="P30" s="342"/>
      <c r="Q30" s="339"/>
      <c r="R30" s="339"/>
      <c r="S30" s="339"/>
    </row>
    <row r="31" spans="1:19" ht="22.95" customHeight="1">
      <c r="A31" s="821" t="s">
        <v>45</v>
      </c>
      <c r="B31" s="876" t="s">
        <v>364</v>
      </c>
      <c r="C31" s="540" t="s">
        <v>27</v>
      </c>
      <c r="D31" s="520">
        <f>D36+D41</f>
        <v>1614</v>
      </c>
      <c r="E31" s="539"/>
      <c r="F31" s="431" t="s">
        <v>20</v>
      </c>
      <c r="G31" s="3">
        <f>SUM(G32:G35)</f>
        <v>25418.103909999998</v>
      </c>
      <c r="H31" s="916" t="s">
        <v>9</v>
      </c>
      <c r="I31" s="161"/>
      <c r="P31" s="247"/>
    </row>
    <row r="32" spans="1:19" ht="22.95" customHeight="1">
      <c r="A32" s="821"/>
      <c r="B32" s="876"/>
      <c r="C32" s="530" t="s">
        <v>27</v>
      </c>
      <c r="D32" s="521">
        <f>D47+D52+D57+D62</f>
        <v>1638</v>
      </c>
      <c r="E32" s="531" t="s">
        <v>1060</v>
      </c>
      <c r="F32" s="431" t="s">
        <v>24</v>
      </c>
      <c r="G32" s="432">
        <f>G37+G42+G47+G52+G57+G62</f>
        <v>5757.2335899999989</v>
      </c>
      <c r="H32" s="916"/>
      <c r="I32" s="243"/>
      <c r="N32" s="363"/>
      <c r="P32" s="247"/>
    </row>
    <row r="33" spans="1:16" ht="19.2" customHeight="1">
      <c r="A33" s="821"/>
      <c r="B33" s="876"/>
      <c r="C33" s="540" t="s">
        <v>190</v>
      </c>
      <c r="D33" s="522">
        <f>D48+D53+D58</f>
        <v>13</v>
      </c>
      <c r="E33" s="539"/>
      <c r="F33" s="431" t="s">
        <v>10</v>
      </c>
      <c r="G33" s="432">
        <f>G38+G43+G48+G53+G58+G63</f>
        <v>413.04640000000001</v>
      </c>
      <c r="H33" s="916"/>
      <c r="I33" s="161"/>
      <c r="J33" s="18"/>
      <c r="K33" s="18"/>
      <c r="P33" s="247"/>
    </row>
    <row r="34" spans="1:16" ht="21.6" customHeight="1">
      <c r="A34" s="821"/>
      <c r="B34" s="876"/>
      <c r="C34" s="530" t="s">
        <v>190</v>
      </c>
      <c r="D34" s="523">
        <f>D49+D54+D59+D64</f>
        <v>14</v>
      </c>
      <c r="E34" s="531" t="s">
        <v>1060</v>
      </c>
      <c r="F34" s="431" t="s">
        <v>971</v>
      </c>
      <c r="G34" s="432">
        <f>G39+G44+G49+G54+G59+G64</f>
        <v>41.304639999999999</v>
      </c>
      <c r="H34" s="916"/>
      <c r="I34" s="161"/>
      <c r="J34" s="18"/>
      <c r="K34" s="18"/>
      <c r="P34" s="247"/>
    </row>
    <row r="35" spans="1:16" ht="19.2" customHeight="1">
      <c r="A35" s="821"/>
      <c r="B35" s="876"/>
      <c r="C35" s="540"/>
      <c r="D35" s="522"/>
      <c r="E35" s="539"/>
      <c r="F35" s="431" t="s">
        <v>972</v>
      </c>
      <c r="G35" s="432">
        <f>G40+G45+G50+G55+G60+G65</f>
        <v>19206.51928</v>
      </c>
      <c r="H35" s="916"/>
      <c r="I35" s="361"/>
      <c r="J35" s="183"/>
      <c r="K35" s="183"/>
      <c r="M35" s="412"/>
      <c r="N35" s="335"/>
      <c r="O35" s="245"/>
      <c r="P35" s="248"/>
    </row>
    <row r="36" spans="1:16" ht="24" customHeight="1">
      <c r="A36" s="867" t="s">
        <v>16</v>
      </c>
      <c r="B36" s="878" t="s">
        <v>842</v>
      </c>
      <c r="C36" s="538" t="s">
        <v>27</v>
      </c>
      <c r="D36" s="541">
        <v>564</v>
      </c>
      <c r="E36" s="850" t="s">
        <v>579</v>
      </c>
      <c r="F36" s="37" t="s">
        <v>20</v>
      </c>
      <c r="G36" s="3">
        <f>SUM(G37:G40)</f>
        <v>3946.7161299999998</v>
      </c>
      <c r="H36" s="847" t="s">
        <v>84</v>
      </c>
      <c r="I36" s="252"/>
      <c r="J36" s="15"/>
      <c r="K36" s="18"/>
      <c r="M36" s="203"/>
      <c r="N36" s="203"/>
    </row>
    <row r="37" spans="1:16" ht="19.2" customHeight="1">
      <c r="A37" s="867"/>
      <c r="B37" s="878"/>
      <c r="C37" s="529" t="s">
        <v>27</v>
      </c>
      <c r="D37" s="512"/>
      <c r="E37" s="850"/>
      <c r="F37" s="38" t="s">
        <v>24</v>
      </c>
      <c r="G37" s="9">
        <f>3401.5742+256.4564</f>
        <v>3658.0306</v>
      </c>
      <c r="H37" s="847"/>
      <c r="I37" s="411"/>
      <c r="K37" s="18"/>
      <c r="M37" s="18"/>
    </row>
    <row r="38" spans="1:16" ht="19.2" customHeight="1">
      <c r="A38" s="867"/>
      <c r="B38" s="878"/>
      <c r="C38" s="543" t="s">
        <v>190</v>
      </c>
      <c r="D38" s="541"/>
      <c r="E38" s="850"/>
      <c r="F38" s="39" t="s">
        <v>10</v>
      </c>
      <c r="G38" s="9">
        <f>244.04221+18.39918</f>
        <v>262.44139000000001</v>
      </c>
      <c r="H38" s="847"/>
      <c r="I38" s="428"/>
      <c r="K38" s="18"/>
      <c r="M38" s="18"/>
      <c r="N38" s="333"/>
    </row>
    <row r="39" spans="1:16" ht="19.2" customHeight="1">
      <c r="A39" s="867"/>
      <c r="B39" s="878"/>
      <c r="C39" s="529" t="s">
        <v>190</v>
      </c>
      <c r="D39" s="512"/>
      <c r="E39" s="850"/>
      <c r="F39" s="39" t="s">
        <v>971</v>
      </c>
      <c r="G39" s="9">
        <f>24.40422+1.83992</f>
        <v>26.244139999999998</v>
      </c>
      <c r="H39" s="847"/>
      <c r="I39" s="917"/>
      <c r="K39" s="18"/>
      <c r="M39" s="18"/>
      <c r="N39" s="333"/>
    </row>
    <row r="40" spans="1:16" ht="19.2" customHeight="1">
      <c r="A40" s="867"/>
      <c r="B40" s="878"/>
      <c r="C40" s="518"/>
      <c r="D40" s="541"/>
      <c r="E40" s="850"/>
      <c r="F40" s="39" t="s">
        <v>972</v>
      </c>
      <c r="G40" s="9"/>
      <c r="H40" s="847"/>
      <c r="I40" s="917"/>
      <c r="J40" s="201"/>
      <c r="K40" s="201"/>
      <c r="M40" s="201"/>
    </row>
    <row r="41" spans="1:16" ht="22.2" customHeight="1">
      <c r="A41" s="867" t="s">
        <v>400</v>
      </c>
      <c r="B41" s="878" t="s">
        <v>843</v>
      </c>
      <c r="C41" s="538" t="s">
        <v>27</v>
      </c>
      <c r="D41" s="509">
        <v>1050</v>
      </c>
      <c r="E41" s="850" t="s">
        <v>579</v>
      </c>
      <c r="F41" s="37" t="s">
        <v>20</v>
      </c>
      <c r="G41" s="3">
        <f>SUM(G42:G45)</f>
        <v>1936.8685</v>
      </c>
      <c r="H41" s="847" t="s">
        <v>84</v>
      </c>
      <c r="I41" s="145"/>
      <c r="J41" s="344"/>
      <c r="K41" s="201"/>
    </row>
    <row r="42" spans="1:16" ht="19.2" customHeight="1">
      <c r="A42" s="867"/>
      <c r="B42" s="878"/>
      <c r="C42" s="529" t="s">
        <v>27</v>
      </c>
      <c r="D42" s="524"/>
      <c r="E42" s="850"/>
      <c r="F42" s="38" t="s">
        <v>24</v>
      </c>
      <c r="G42" s="414">
        <v>1795.19479</v>
      </c>
      <c r="H42" s="847"/>
      <c r="I42" s="145"/>
      <c r="J42" s="17"/>
      <c r="K42" s="201"/>
    </row>
    <row r="43" spans="1:16" ht="19.2" customHeight="1">
      <c r="A43" s="867"/>
      <c r="B43" s="878"/>
      <c r="C43" s="543" t="s">
        <v>190</v>
      </c>
      <c r="D43" s="509"/>
      <c r="E43" s="850"/>
      <c r="F43" s="39" t="s">
        <v>10</v>
      </c>
      <c r="G43" s="414">
        <v>128.79427999999999</v>
      </c>
      <c r="H43" s="847"/>
      <c r="I43" s="145"/>
      <c r="J43" s="17"/>
      <c r="K43" s="201"/>
      <c r="N43" s="333"/>
    </row>
    <row r="44" spans="1:16" ht="19.2" customHeight="1">
      <c r="A44" s="867"/>
      <c r="B44" s="878"/>
      <c r="C44" s="529" t="s">
        <v>190</v>
      </c>
      <c r="D44" s="524"/>
      <c r="E44" s="850"/>
      <c r="F44" s="39" t="s">
        <v>971</v>
      </c>
      <c r="G44" s="414">
        <v>12.879429999999999</v>
      </c>
      <c r="H44" s="847"/>
      <c r="I44" s="145"/>
      <c r="J44" s="17"/>
      <c r="K44" s="201"/>
      <c r="N44" s="333"/>
    </row>
    <row r="45" spans="1:16" ht="19.2" customHeight="1">
      <c r="A45" s="867"/>
      <c r="B45" s="878"/>
      <c r="C45" s="538"/>
      <c r="D45" s="509"/>
      <c r="E45" s="850"/>
      <c r="F45" s="39" t="s">
        <v>972</v>
      </c>
      <c r="G45" s="244">
        <v>0</v>
      </c>
      <c r="H45" s="847"/>
      <c r="I45" s="201"/>
      <c r="J45" s="17"/>
      <c r="K45" s="201"/>
      <c r="M45" s="18"/>
    </row>
    <row r="46" spans="1:16" ht="19.2" customHeight="1">
      <c r="A46" s="867" t="s">
        <v>662</v>
      </c>
      <c r="B46" s="878" t="s">
        <v>949</v>
      </c>
      <c r="C46" s="538" t="s">
        <v>27</v>
      </c>
      <c r="D46" s="542"/>
      <c r="E46" s="850" t="s">
        <v>579</v>
      </c>
      <c r="F46" s="37" t="s">
        <v>20</v>
      </c>
      <c r="G46" s="3">
        <f>SUM(G47:G50)</f>
        <v>6048.01</v>
      </c>
      <c r="H46" s="847" t="s">
        <v>942</v>
      </c>
      <c r="I46" s="553"/>
      <c r="J46" s="209"/>
      <c r="K46" s="554"/>
      <c r="L46" s="501"/>
      <c r="M46" s="183"/>
      <c r="N46" s="555"/>
      <c r="O46" s="501"/>
      <c r="P46" s="501"/>
    </row>
    <row r="47" spans="1:16" ht="19.2" customHeight="1">
      <c r="A47" s="867"/>
      <c r="B47" s="878"/>
      <c r="C47" s="529" t="s">
        <v>27</v>
      </c>
      <c r="D47" s="525"/>
      <c r="E47" s="850"/>
      <c r="F47" s="38" t="s">
        <v>24</v>
      </c>
      <c r="G47" s="244">
        <v>92.685429999999997</v>
      </c>
      <c r="H47" s="847"/>
      <c r="I47" s="556"/>
      <c r="J47" s="557"/>
      <c r="K47" s="557"/>
      <c r="L47" s="501"/>
      <c r="M47" s="501"/>
      <c r="N47" s="555"/>
      <c r="O47" s="501"/>
      <c r="P47" s="501"/>
    </row>
    <row r="48" spans="1:16" ht="19.2" customHeight="1">
      <c r="A48" s="867"/>
      <c r="B48" s="878"/>
      <c r="C48" s="543" t="s">
        <v>190</v>
      </c>
      <c r="D48" s="542">
        <v>9</v>
      </c>
      <c r="E48" s="850"/>
      <c r="F48" s="39" t="s">
        <v>10</v>
      </c>
      <c r="G48" s="244">
        <v>6.64961</v>
      </c>
      <c r="H48" s="847"/>
      <c r="I48" s="556"/>
      <c r="J48" s="558"/>
      <c r="K48" s="557"/>
      <c r="L48" s="501"/>
      <c r="M48" s="501"/>
      <c r="N48" s="559"/>
      <c r="O48" s="501"/>
      <c r="P48" s="501"/>
    </row>
    <row r="49" spans="1:16" ht="19.2" customHeight="1">
      <c r="A49" s="867"/>
      <c r="B49" s="878"/>
      <c r="C49" s="529" t="s">
        <v>190</v>
      </c>
      <c r="D49" s="525"/>
      <c r="E49" s="850"/>
      <c r="F49" s="39" t="s">
        <v>971</v>
      </c>
      <c r="G49" s="244">
        <v>0.66496</v>
      </c>
      <c r="H49" s="847"/>
      <c r="I49" s="560"/>
      <c r="J49" s="561"/>
      <c r="K49" s="557"/>
      <c r="L49" s="501"/>
      <c r="M49" s="501"/>
      <c r="N49" s="559"/>
      <c r="O49" s="501"/>
      <c r="P49" s="501"/>
    </row>
    <row r="50" spans="1:16" ht="19.2" customHeight="1">
      <c r="A50" s="867"/>
      <c r="B50" s="878"/>
      <c r="C50" s="538"/>
      <c r="D50" s="542"/>
      <c r="E50" s="850"/>
      <c r="F50" s="39" t="s">
        <v>972</v>
      </c>
      <c r="G50" s="244">
        <f>5948.43-0.42</f>
        <v>5948.01</v>
      </c>
      <c r="H50" s="847"/>
      <c r="I50" s="560"/>
      <c r="J50" s="562"/>
      <c r="K50" s="563"/>
      <c r="L50" s="501"/>
      <c r="M50" s="183"/>
      <c r="N50" s="555"/>
      <c r="O50" s="501"/>
      <c r="P50" s="501"/>
    </row>
    <row r="51" spans="1:16" ht="19.2" customHeight="1">
      <c r="A51" s="867" t="s">
        <v>890</v>
      </c>
      <c r="B51" s="878" t="s">
        <v>950</v>
      </c>
      <c r="C51" s="538" t="s">
        <v>27</v>
      </c>
      <c r="D51" s="542"/>
      <c r="E51" s="850" t="s">
        <v>579</v>
      </c>
      <c r="F51" s="37" t="s">
        <v>20</v>
      </c>
      <c r="G51" s="3">
        <f>SUM(G52:G55)</f>
        <v>4128.9174999999996</v>
      </c>
      <c r="H51" s="847" t="s">
        <v>941</v>
      </c>
      <c r="I51" s="553"/>
      <c r="J51" s="561"/>
      <c r="K51" s="554"/>
      <c r="L51" s="501"/>
      <c r="M51" s="183"/>
      <c r="N51" s="183"/>
      <c r="O51" s="501"/>
      <c r="P51" s="501"/>
    </row>
    <row r="52" spans="1:16" ht="19.2" customHeight="1">
      <c r="A52" s="867"/>
      <c r="B52" s="878"/>
      <c r="C52" s="529" t="s">
        <v>27</v>
      </c>
      <c r="D52" s="525">
        <v>890</v>
      </c>
      <c r="E52" s="850"/>
      <c r="F52" s="38" t="s">
        <v>24</v>
      </c>
      <c r="G52" s="244">
        <v>105.66139</v>
      </c>
      <c r="H52" s="847"/>
      <c r="I52" s="563"/>
      <c r="J52" s="561"/>
      <c r="K52" s="557"/>
      <c r="L52" s="501"/>
      <c r="M52" s="183"/>
      <c r="N52" s="555"/>
      <c r="O52" s="501"/>
      <c r="P52" s="501"/>
    </row>
    <row r="53" spans="1:16" ht="19.2" customHeight="1">
      <c r="A53" s="867"/>
      <c r="B53" s="878"/>
      <c r="C53" s="543" t="s">
        <v>190</v>
      </c>
      <c r="D53" s="542">
        <v>2</v>
      </c>
      <c r="E53" s="850"/>
      <c r="F53" s="39" t="s">
        <v>10</v>
      </c>
      <c r="G53" s="244">
        <v>7.5805600000000002</v>
      </c>
      <c r="H53" s="847"/>
      <c r="I53" s="563"/>
      <c r="J53" s="561"/>
      <c r="K53" s="557"/>
      <c r="L53" s="501"/>
      <c r="M53" s="501"/>
      <c r="N53" s="559"/>
      <c r="O53" s="501"/>
      <c r="P53" s="501"/>
    </row>
    <row r="54" spans="1:16" ht="19.2" customHeight="1">
      <c r="A54" s="867"/>
      <c r="B54" s="878"/>
      <c r="C54" s="529" t="s">
        <v>190</v>
      </c>
      <c r="D54" s="525"/>
      <c r="E54" s="850"/>
      <c r="F54" s="39" t="s">
        <v>971</v>
      </c>
      <c r="G54" s="244">
        <v>0.75805</v>
      </c>
      <c r="H54" s="847"/>
      <c r="I54" s="560"/>
      <c r="J54" s="561"/>
      <c r="K54" s="557"/>
      <c r="L54" s="501"/>
      <c r="M54" s="501"/>
      <c r="N54" s="559"/>
      <c r="O54" s="501"/>
      <c r="P54" s="501"/>
    </row>
    <row r="55" spans="1:16" ht="19.2" customHeight="1">
      <c r="A55" s="867"/>
      <c r="B55" s="878"/>
      <c r="C55" s="538"/>
      <c r="D55" s="542"/>
      <c r="E55" s="850"/>
      <c r="F55" s="39" t="s">
        <v>972</v>
      </c>
      <c r="G55" s="244">
        <v>4014.9175</v>
      </c>
      <c r="H55" s="847"/>
      <c r="I55" s="564"/>
      <c r="J55" s="564"/>
      <c r="K55" s="563"/>
      <c r="L55" s="501"/>
      <c r="M55" s="183"/>
      <c r="N55" s="555"/>
      <c r="O55" s="501"/>
      <c r="P55" s="501"/>
    </row>
    <row r="56" spans="1:16" ht="19.2" customHeight="1">
      <c r="A56" s="867" t="s">
        <v>891</v>
      </c>
      <c r="B56" s="878" t="s">
        <v>951</v>
      </c>
      <c r="C56" s="538" t="s">
        <v>27</v>
      </c>
      <c r="D56" s="542"/>
      <c r="E56" s="850" t="s">
        <v>579</v>
      </c>
      <c r="F56" s="37" t="s">
        <v>20</v>
      </c>
      <c r="G56" s="3">
        <f>SUM(G57:G60)</f>
        <v>5023.3464599999998</v>
      </c>
      <c r="H56" s="847" t="s">
        <v>941</v>
      </c>
      <c r="I56" s="565"/>
      <c r="J56" s="561"/>
      <c r="K56" s="554"/>
      <c r="L56" s="501"/>
      <c r="M56" s="501"/>
      <c r="N56" s="555"/>
      <c r="O56" s="501"/>
      <c r="P56" s="501"/>
    </row>
    <row r="57" spans="1:16" ht="19.2" customHeight="1">
      <c r="A57" s="867"/>
      <c r="B57" s="878"/>
      <c r="C57" s="529" t="s">
        <v>27</v>
      </c>
      <c r="D57" s="542">
        <v>748</v>
      </c>
      <c r="E57" s="850"/>
      <c r="F57" s="38" t="s">
        <v>24</v>
      </c>
      <c r="G57" s="244">
        <v>105.66137999999999</v>
      </c>
      <c r="H57" s="847"/>
      <c r="I57" s="563"/>
      <c r="J57" s="561"/>
      <c r="K57" s="563"/>
      <c r="L57" s="501"/>
      <c r="M57" s="501"/>
      <c r="N57" s="555"/>
      <c r="O57" s="501"/>
      <c r="P57" s="501"/>
    </row>
    <row r="58" spans="1:16" ht="19.2" customHeight="1">
      <c r="A58" s="867"/>
      <c r="B58" s="878"/>
      <c r="C58" s="543" t="s">
        <v>190</v>
      </c>
      <c r="D58" s="542">
        <v>2</v>
      </c>
      <c r="E58" s="850"/>
      <c r="F58" s="39" t="s">
        <v>10</v>
      </c>
      <c r="G58" s="244">
        <v>7.5805600000000002</v>
      </c>
      <c r="H58" s="847"/>
      <c r="I58" s="563"/>
      <c r="J58" s="561"/>
      <c r="K58" s="563"/>
      <c r="L58" s="183"/>
      <c r="M58" s="501"/>
      <c r="N58" s="559"/>
      <c r="O58" s="501"/>
      <c r="P58" s="501"/>
    </row>
    <row r="59" spans="1:16" ht="19.2" customHeight="1">
      <c r="A59" s="867"/>
      <c r="B59" s="878"/>
      <c r="C59" s="529" t="s">
        <v>190</v>
      </c>
      <c r="D59" s="542"/>
      <c r="E59" s="850"/>
      <c r="F59" s="39" t="s">
        <v>971</v>
      </c>
      <c r="G59" s="244">
        <v>0.75805999999999996</v>
      </c>
      <c r="H59" s="847"/>
      <c r="I59" s="560"/>
      <c r="J59" s="561"/>
      <c r="K59" s="557"/>
      <c r="L59" s="501"/>
      <c r="M59" s="501"/>
      <c r="N59" s="559"/>
      <c r="O59" s="501"/>
      <c r="P59" s="501"/>
    </row>
    <row r="60" spans="1:16" ht="19.2" customHeight="1">
      <c r="A60" s="867"/>
      <c r="B60" s="878"/>
      <c r="C60" s="538"/>
      <c r="D60" s="542"/>
      <c r="E60" s="850"/>
      <c r="F60" s="39" t="s">
        <v>972</v>
      </c>
      <c r="G60" s="244">
        <v>4909.3464599999998</v>
      </c>
      <c r="H60" s="847"/>
      <c r="I60" s="564"/>
      <c r="J60" s="564"/>
      <c r="K60" s="563"/>
      <c r="L60" s="183"/>
      <c r="M60" s="183"/>
      <c r="N60" s="555"/>
      <c r="O60" s="501"/>
      <c r="P60" s="501"/>
    </row>
    <row r="61" spans="1:16" ht="14.4" customHeight="1">
      <c r="A61" s="867" t="s">
        <v>940</v>
      </c>
      <c r="B61" s="913" t="s">
        <v>970</v>
      </c>
      <c r="C61" s="538" t="s">
        <v>27</v>
      </c>
      <c r="D61" s="519"/>
      <c r="E61" s="850" t="s">
        <v>579</v>
      </c>
      <c r="F61" s="37" t="s">
        <v>20</v>
      </c>
      <c r="G61" s="3">
        <f>SUM(G62:G65)</f>
        <v>4334.24532</v>
      </c>
      <c r="H61" s="847" t="s">
        <v>84</v>
      </c>
      <c r="I61" s="565"/>
      <c r="J61" s="561"/>
      <c r="K61" s="554"/>
      <c r="L61" s="501"/>
      <c r="M61" s="501"/>
      <c r="N61" s="555"/>
      <c r="O61" s="501"/>
      <c r="P61" s="501"/>
    </row>
    <row r="62" spans="1:16" ht="14.4" customHeight="1">
      <c r="A62" s="867"/>
      <c r="B62" s="913"/>
      <c r="C62" s="529" t="s">
        <v>27</v>
      </c>
      <c r="D62" s="519"/>
      <c r="E62" s="850"/>
      <c r="F62" s="38" t="s">
        <v>24</v>
      </c>
      <c r="G62" s="244"/>
      <c r="H62" s="847"/>
      <c r="I62" s="563"/>
      <c r="J62" s="561"/>
      <c r="K62" s="557"/>
      <c r="L62" s="501"/>
      <c r="M62" s="501"/>
      <c r="N62" s="555"/>
      <c r="O62" s="501"/>
      <c r="P62" s="501"/>
    </row>
    <row r="63" spans="1:16" ht="14.4" customHeight="1">
      <c r="A63" s="867"/>
      <c r="B63" s="913"/>
      <c r="C63" s="543" t="s">
        <v>190</v>
      </c>
      <c r="D63" s="519"/>
      <c r="E63" s="850"/>
      <c r="F63" s="39" t="s">
        <v>10</v>
      </c>
      <c r="G63" s="244"/>
      <c r="H63" s="847"/>
      <c r="I63" s="563"/>
      <c r="J63" s="561"/>
      <c r="K63" s="557"/>
      <c r="L63" s="501"/>
      <c r="M63" s="501"/>
      <c r="N63" s="559"/>
      <c r="O63" s="501"/>
      <c r="P63" s="501"/>
    </row>
    <row r="64" spans="1:16" ht="14.4" customHeight="1">
      <c r="A64" s="867"/>
      <c r="B64" s="913"/>
      <c r="C64" s="529" t="s">
        <v>190</v>
      </c>
      <c r="D64" s="525">
        <v>14</v>
      </c>
      <c r="E64" s="850"/>
      <c r="F64" s="39" t="s">
        <v>971</v>
      </c>
      <c r="G64" s="244"/>
      <c r="H64" s="847"/>
      <c r="I64" s="560"/>
      <c r="J64" s="561"/>
      <c r="K64" s="557"/>
      <c r="L64" s="501"/>
      <c r="M64" s="183"/>
      <c r="N64" s="566"/>
      <c r="O64" s="501"/>
      <c r="P64" s="501"/>
    </row>
    <row r="65" spans="1:18" ht="14.4" customHeight="1">
      <c r="A65" s="867"/>
      <c r="B65" s="913"/>
      <c r="C65" s="571"/>
      <c r="D65" s="519"/>
      <c r="E65" s="850"/>
      <c r="F65" s="39" t="s">
        <v>972</v>
      </c>
      <c r="G65" s="572">
        <v>4334.24532</v>
      </c>
      <c r="H65" s="847"/>
      <c r="I65" s="564"/>
      <c r="J65" s="564"/>
      <c r="K65" s="563"/>
      <c r="L65" s="501"/>
      <c r="M65" s="183"/>
      <c r="N65" s="555"/>
      <c r="O65" s="501"/>
      <c r="P65" s="501"/>
    </row>
    <row r="66" spans="1:18" ht="14.4" customHeight="1">
      <c r="A66" s="821" t="s">
        <v>48</v>
      </c>
      <c r="B66" s="914" t="s">
        <v>981</v>
      </c>
      <c r="C66" s="818" t="s">
        <v>980</v>
      </c>
      <c r="D66" s="915">
        <v>25</v>
      </c>
      <c r="E66" s="818" t="s">
        <v>579</v>
      </c>
      <c r="F66" s="431" t="s">
        <v>20</v>
      </c>
      <c r="G66" s="3">
        <f>SUM(G67:G70)</f>
        <v>560.18899999999996</v>
      </c>
      <c r="H66" s="912" t="s">
        <v>985</v>
      </c>
      <c r="I66" s="563"/>
      <c r="J66" s="557"/>
      <c r="K66" s="563"/>
      <c r="L66" s="501"/>
      <c r="M66" s="183"/>
      <c r="N66" s="555"/>
      <c r="O66" s="501"/>
      <c r="P66" s="501"/>
    </row>
    <row r="67" spans="1:18" ht="14.4" customHeight="1">
      <c r="A67" s="821"/>
      <c r="B67" s="914"/>
      <c r="C67" s="818"/>
      <c r="D67" s="915"/>
      <c r="E67" s="818"/>
      <c r="F67" s="39" t="s">
        <v>24</v>
      </c>
      <c r="G67" s="244">
        <f t="shared" ref="G67:G68" si="2">I67</f>
        <v>0</v>
      </c>
      <c r="H67" s="912"/>
      <c r="I67" s="563"/>
      <c r="J67" s="557"/>
      <c r="K67" s="563"/>
      <c r="L67" s="501"/>
      <c r="M67" s="183"/>
      <c r="N67" s="555"/>
      <c r="O67" s="501"/>
      <c r="P67" s="501"/>
    </row>
    <row r="68" spans="1:18" ht="14.4" customHeight="1">
      <c r="A68" s="821"/>
      <c r="B68" s="914"/>
      <c r="C68" s="818"/>
      <c r="D68" s="915"/>
      <c r="E68" s="818"/>
      <c r="F68" s="39" t="s">
        <v>10</v>
      </c>
      <c r="G68" s="244">
        <f t="shared" si="2"/>
        <v>0</v>
      </c>
      <c r="H68" s="912"/>
      <c r="I68" s="563"/>
      <c r="J68" s="557"/>
      <c r="K68" s="563"/>
      <c r="L68" s="501"/>
      <c r="M68" s="183"/>
      <c r="N68" s="555"/>
      <c r="O68" s="501"/>
      <c r="P68" s="501"/>
    </row>
    <row r="69" spans="1:18" ht="14.4" customHeight="1">
      <c r="A69" s="821"/>
      <c r="B69" s="914"/>
      <c r="C69" s="818"/>
      <c r="D69" s="915"/>
      <c r="E69" s="818"/>
      <c r="F69" s="39" t="s">
        <v>971</v>
      </c>
      <c r="G69" s="244">
        <v>560.18899999999996</v>
      </c>
      <c r="H69" s="912"/>
      <c r="I69" s="563"/>
      <c r="J69" s="563"/>
      <c r="K69" s="563"/>
      <c r="L69" s="501"/>
      <c r="M69" s="183"/>
      <c r="N69" s="555"/>
      <c r="O69" s="501"/>
      <c r="P69" s="501"/>
    </row>
    <row r="70" spans="1:18" ht="14.4" customHeight="1">
      <c r="A70" s="821"/>
      <c r="B70" s="914"/>
      <c r="C70" s="818"/>
      <c r="D70" s="915"/>
      <c r="E70" s="818"/>
      <c r="F70" s="39" t="s">
        <v>972</v>
      </c>
      <c r="G70" s="244"/>
      <c r="H70" s="912"/>
      <c r="I70" s="563"/>
      <c r="J70" s="563"/>
      <c r="K70" s="563"/>
      <c r="L70" s="501"/>
      <c r="M70" s="183"/>
      <c r="N70" s="555"/>
      <c r="O70" s="501"/>
      <c r="P70" s="501"/>
    </row>
    <row r="71" spans="1:18" ht="21" customHeight="1">
      <c r="A71" s="909" t="s">
        <v>88</v>
      </c>
      <c r="B71" s="908" t="s">
        <v>582</v>
      </c>
      <c r="C71" s="909" t="s">
        <v>9</v>
      </c>
      <c r="D71" s="909" t="s">
        <v>9</v>
      </c>
      <c r="E71" s="909" t="s">
        <v>9</v>
      </c>
      <c r="F71" s="431" t="s">
        <v>20</v>
      </c>
      <c r="G71" s="4">
        <f>G72+G73+G74+G75</f>
        <v>2938.7460000000001</v>
      </c>
      <c r="H71" s="909" t="s">
        <v>9</v>
      </c>
      <c r="I71" s="501"/>
      <c r="J71" s="183"/>
      <c r="K71" s="183"/>
      <c r="L71" s="501"/>
      <c r="M71" s="501"/>
      <c r="N71" s="555"/>
      <c r="O71" s="501"/>
      <c r="P71" s="501"/>
    </row>
    <row r="72" spans="1:18" ht="21" customHeight="1">
      <c r="A72" s="909"/>
      <c r="B72" s="908"/>
      <c r="C72" s="909"/>
      <c r="D72" s="909"/>
      <c r="E72" s="909"/>
      <c r="F72" s="431" t="s">
        <v>24</v>
      </c>
      <c r="G72" s="4"/>
      <c r="H72" s="909"/>
      <c r="I72" s="501"/>
      <c r="J72" s="183"/>
      <c r="K72" s="183"/>
      <c r="L72" s="501"/>
      <c r="M72" s="501"/>
      <c r="N72" s="555"/>
      <c r="O72" s="501"/>
      <c r="P72" s="501"/>
    </row>
    <row r="73" spans="1:18" ht="21" customHeight="1">
      <c r="A73" s="909"/>
      <c r="B73" s="908"/>
      <c r="C73" s="909"/>
      <c r="D73" s="909"/>
      <c r="E73" s="909"/>
      <c r="F73" s="431" t="s">
        <v>10</v>
      </c>
      <c r="G73" s="4"/>
      <c r="H73" s="909"/>
      <c r="I73" s="501"/>
      <c r="J73" s="501"/>
      <c r="K73" s="183"/>
      <c r="L73" s="501"/>
      <c r="M73" s="501"/>
      <c r="N73" s="555"/>
      <c r="O73" s="501"/>
      <c r="P73" s="501"/>
    </row>
    <row r="74" spans="1:18" ht="21" customHeight="1">
      <c r="A74" s="909"/>
      <c r="B74" s="908"/>
      <c r="C74" s="909"/>
      <c r="D74" s="909"/>
      <c r="E74" s="909"/>
      <c r="F74" s="431" t="s">
        <v>971</v>
      </c>
      <c r="G74" s="4">
        <f>G79+G84</f>
        <v>2938.7460000000001</v>
      </c>
      <c r="H74" s="909"/>
      <c r="I74" s="501"/>
      <c r="J74" s="183"/>
      <c r="K74" s="359"/>
      <c r="L74" s="561"/>
      <c r="M74" s="501"/>
      <c r="N74" s="555"/>
      <c r="O74" s="501"/>
      <c r="P74" s="501"/>
      <c r="R74" s="18"/>
    </row>
    <row r="75" spans="1:18" ht="21" customHeight="1">
      <c r="A75" s="909"/>
      <c r="B75" s="908"/>
      <c r="C75" s="909"/>
      <c r="D75" s="909"/>
      <c r="E75" s="909"/>
      <c r="F75" s="431" t="s">
        <v>972</v>
      </c>
      <c r="G75" s="4"/>
      <c r="H75" s="909"/>
      <c r="I75" s="501"/>
      <c r="J75" s="183"/>
      <c r="K75" s="359"/>
      <c r="L75" s="561"/>
      <c r="M75" s="501"/>
      <c r="N75" s="555"/>
      <c r="O75" s="501"/>
      <c r="P75" s="501"/>
      <c r="R75" s="18"/>
    </row>
    <row r="76" spans="1:18" ht="14.4" customHeight="1">
      <c r="A76" s="911" t="s">
        <v>494</v>
      </c>
      <c r="B76" s="910" t="s">
        <v>1023</v>
      </c>
      <c r="C76" s="911" t="s">
        <v>43</v>
      </c>
      <c r="D76" s="911">
        <v>1</v>
      </c>
      <c r="E76" s="911" t="s">
        <v>933</v>
      </c>
      <c r="F76" s="431" t="s">
        <v>20</v>
      </c>
      <c r="G76" s="500">
        <f>G77+G78+G79+G80</f>
        <v>2800</v>
      </c>
      <c r="H76" s="907" t="s">
        <v>85</v>
      </c>
      <c r="I76" s="501"/>
      <c r="J76" s="183"/>
      <c r="K76" s="359"/>
      <c r="L76" s="561"/>
      <c r="M76" s="501"/>
      <c r="N76" s="555"/>
      <c r="O76" s="501"/>
      <c r="P76" s="501"/>
      <c r="R76" s="18"/>
    </row>
    <row r="77" spans="1:18" ht="18" customHeight="1">
      <c r="A77" s="911"/>
      <c r="B77" s="910"/>
      <c r="C77" s="911"/>
      <c r="D77" s="911"/>
      <c r="E77" s="911"/>
      <c r="F77" s="39" t="s">
        <v>24</v>
      </c>
      <c r="G77" s="500"/>
      <c r="H77" s="907"/>
      <c r="I77" s="501"/>
      <c r="J77" s="183"/>
      <c r="K77" s="359"/>
      <c r="L77" s="567"/>
      <c r="M77" s="358"/>
      <c r="N77" s="183"/>
      <c r="O77" s="555"/>
      <c r="P77" s="183"/>
      <c r="R77" s="18"/>
    </row>
    <row r="78" spans="1:18" ht="18" customHeight="1">
      <c r="A78" s="911"/>
      <c r="B78" s="910"/>
      <c r="C78" s="911"/>
      <c r="D78" s="911"/>
      <c r="E78" s="911"/>
      <c r="F78" s="39" t="s">
        <v>10</v>
      </c>
      <c r="G78" s="500"/>
      <c r="H78" s="907"/>
      <c r="I78" s="501"/>
      <c r="J78" s="183"/>
      <c r="K78" s="568"/>
      <c r="L78" s="569"/>
      <c r="M78" s="565"/>
      <c r="N78" s="570"/>
      <c r="O78" s="570"/>
      <c r="P78" s="570"/>
      <c r="R78" s="18"/>
    </row>
    <row r="79" spans="1:18" ht="18" customHeight="1">
      <c r="A79" s="911"/>
      <c r="B79" s="910"/>
      <c r="C79" s="911"/>
      <c r="D79" s="911"/>
      <c r="E79" s="911"/>
      <c r="F79" s="39" t="s">
        <v>971</v>
      </c>
      <c r="G79" s="500">
        <v>2800</v>
      </c>
      <c r="H79" s="907"/>
      <c r="I79" s="501"/>
      <c r="J79" s="183"/>
      <c r="K79" s="921"/>
      <c r="L79" s="921"/>
      <c r="M79" s="501"/>
      <c r="N79" s="555"/>
      <c r="O79" s="501"/>
      <c r="P79" s="501"/>
    </row>
    <row r="80" spans="1:18" ht="18" customHeight="1">
      <c r="A80" s="911"/>
      <c r="B80" s="910"/>
      <c r="C80" s="911"/>
      <c r="D80" s="911"/>
      <c r="E80" s="911"/>
      <c r="F80" s="39" t="s">
        <v>972</v>
      </c>
      <c r="G80" s="500"/>
      <c r="H80" s="907"/>
      <c r="I80" s="501"/>
      <c r="J80" s="183"/>
      <c r="K80" s="183"/>
      <c r="L80" s="501"/>
      <c r="M80" s="501"/>
      <c r="N80" s="555"/>
      <c r="O80" s="501"/>
      <c r="P80" s="501"/>
    </row>
    <row r="81" spans="1:16">
      <c r="A81" s="911" t="s">
        <v>494</v>
      </c>
      <c r="B81" s="910" t="s">
        <v>1039</v>
      </c>
      <c r="C81" s="911" t="s">
        <v>43</v>
      </c>
      <c r="D81" s="911">
        <v>1</v>
      </c>
      <c r="E81" s="911" t="s">
        <v>933</v>
      </c>
      <c r="F81" s="431" t="s">
        <v>20</v>
      </c>
      <c r="G81" s="500">
        <f>G82+G83+G84+G85</f>
        <v>138.74600000000001</v>
      </c>
      <c r="H81" s="907" t="s">
        <v>85</v>
      </c>
      <c r="I81" s="501"/>
      <c r="J81" s="501"/>
      <c r="K81" s="501"/>
      <c r="L81" s="501"/>
      <c r="M81" s="183"/>
      <c r="N81" s="555"/>
      <c r="O81" s="501"/>
      <c r="P81" s="501"/>
    </row>
    <row r="82" spans="1:16">
      <c r="A82" s="911"/>
      <c r="B82" s="910"/>
      <c r="C82" s="911"/>
      <c r="D82" s="911"/>
      <c r="E82" s="911"/>
      <c r="F82" s="39" t="s">
        <v>24</v>
      </c>
      <c r="G82" s="500"/>
      <c r="H82" s="907"/>
      <c r="I82" s="501"/>
      <c r="J82" s="183"/>
      <c r="K82" s="501"/>
      <c r="L82" s="501"/>
      <c r="M82" s="501"/>
      <c r="N82" s="555"/>
      <c r="O82" s="501"/>
      <c r="P82" s="501"/>
    </row>
    <row r="83" spans="1:16">
      <c r="A83" s="911"/>
      <c r="B83" s="910"/>
      <c r="C83" s="911"/>
      <c r="D83" s="911"/>
      <c r="E83" s="911"/>
      <c r="F83" s="39" t="s">
        <v>10</v>
      </c>
      <c r="G83" s="500"/>
      <c r="H83" s="907"/>
    </row>
    <row r="84" spans="1:16">
      <c r="A84" s="911"/>
      <c r="B84" s="910"/>
      <c r="C84" s="911"/>
      <c r="D84" s="911"/>
      <c r="E84" s="911"/>
      <c r="F84" s="39" t="s">
        <v>971</v>
      </c>
      <c r="G84" s="500">
        <v>138.74600000000001</v>
      </c>
      <c r="H84" s="907"/>
    </row>
    <row r="85" spans="1:16">
      <c r="A85" s="911"/>
      <c r="B85" s="910"/>
      <c r="C85" s="911"/>
      <c r="D85" s="911"/>
      <c r="E85" s="911"/>
      <c r="F85" s="39" t="s">
        <v>972</v>
      </c>
      <c r="G85" s="500"/>
      <c r="H85" s="907"/>
    </row>
    <row r="86" spans="1:16">
      <c r="B86" s="10" t="s">
        <v>1061</v>
      </c>
      <c r="D86" s="501"/>
      <c r="E86" s="501"/>
      <c r="F86" s="502"/>
      <c r="G86" s="18"/>
    </row>
    <row r="87" spans="1:16">
      <c r="D87" s="501"/>
      <c r="E87" s="501"/>
      <c r="F87" s="503"/>
      <c r="G87" s="18"/>
    </row>
    <row r="88" spans="1:16">
      <c r="D88" s="501"/>
      <c r="E88" s="501"/>
      <c r="F88" s="503"/>
      <c r="G88" s="18"/>
    </row>
    <row r="89" spans="1:16">
      <c r="D89" s="501"/>
      <c r="E89" s="501"/>
      <c r="F89" s="503"/>
      <c r="G89" s="18"/>
    </row>
    <row r="90" spans="1:16">
      <c r="D90" s="501"/>
      <c r="E90" s="501"/>
      <c r="F90" s="501"/>
      <c r="H90" s="18"/>
    </row>
  </sheetData>
  <mergeCells count="93">
    <mergeCell ref="D6:D10"/>
    <mergeCell ref="E6:E10"/>
    <mergeCell ref="H6:H10"/>
    <mergeCell ref="H81:H85"/>
    <mergeCell ref="K79:L79"/>
    <mergeCell ref="H11:H15"/>
    <mergeCell ref="D81:D85"/>
    <mergeCell ref="E81:E85"/>
    <mergeCell ref="H21:H25"/>
    <mergeCell ref="D16:D20"/>
    <mergeCell ref="E16:E20"/>
    <mergeCell ref="H16:H20"/>
    <mergeCell ref="D21:D25"/>
    <mergeCell ref="E21:E25"/>
    <mergeCell ref="D11:D15"/>
    <mergeCell ref="E11:E15"/>
    <mergeCell ref="B1:E1"/>
    <mergeCell ref="G1:H1"/>
    <mergeCell ref="A2:H2"/>
    <mergeCell ref="A4:A5"/>
    <mergeCell ref="B4:B5"/>
    <mergeCell ref="C4:D4"/>
    <mergeCell ref="E4:E5"/>
    <mergeCell ref="F4:F5"/>
    <mergeCell ref="G4:G5"/>
    <mergeCell ref="H4:H5"/>
    <mergeCell ref="A6:A10"/>
    <mergeCell ref="B6:B10"/>
    <mergeCell ref="C6:C10"/>
    <mergeCell ref="A81:A85"/>
    <mergeCell ref="B81:B85"/>
    <mergeCell ref="C81:C85"/>
    <mergeCell ref="A16:A20"/>
    <mergeCell ref="B16:B20"/>
    <mergeCell ref="C16:C20"/>
    <mergeCell ref="A21:A25"/>
    <mergeCell ref="B21:B25"/>
    <mergeCell ref="C21:C25"/>
    <mergeCell ref="A11:A15"/>
    <mergeCell ref="B11:B15"/>
    <mergeCell ref="C11:C15"/>
    <mergeCell ref="A46:A50"/>
    <mergeCell ref="H26:H30"/>
    <mergeCell ref="A31:A35"/>
    <mergeCell ref="B31:B35"/>
    <mergeCell ref="A26:A30"/>
    <mergeCell ref="B26:B30"/>
    <mergeCell ref="C26:C30"/>
    <mergeCell ref="D26:D30"/>
    <mergeCell ref="E26:E30"/>
    <mergeCell ref="B46:B50"/>
    <mergeCell ref="H31:H35"/>
    <mergeCell ref="E46:E50"/>
    <mergeCell ref="H46:H50"/>
    <mergeCell ref="I39:I40"/>
    <mergeCell ref="A41:A45"/>
    <mergeCell ref="B41:B45"/>
    <mergeCell ref="E41:E45"/>
    <mergeCell ref="H41:H45"/>
    <mergeCell ref="A36:A40"/>
    <mergeCell ref="B36:B40"/>
    <mergeCell ref="E36:E40"/>
    <mergeCell ref="H36:H40"/>
    <mergeCell ref="H56:H60"/>
    <mergeCell ref="A51:A55"/>
    <mergeCell ref="B51:B55"/>
    <mergeCell ref="E51:E55"/>
    <mergeCell ref="H51:H55"/>
    <mergeCell ref="A56:A60"/>
    <mergeCell ref="B56:B60"/>
    <mergeCell ref="E56:E60"/>
    <mergeCell ref="H66:H70"/>
    <mergeCell ref="A61:A65"/>
    <mergeCell ref="B61:B65"/>
    <mergeCell ref="E61:E65"/>
    <mergeCell ref="H61:H65"/>
    <mergeCell ref="A66:A70"/>
    <mergeCell ref="B66:B70"/>
    <mergeCell ref="C66:C70"/>
    <mergeCell ref="D66:D70"/>
    <mergeCell ref="E66:E70"/>
    <mergeCell ref="H76:H80"/>
    <mergeCell ref="B71:B75"/>
    <mergeCell ref="A71:A75"/>
    <mergeCell ref="C71:C75"/>
    <mergeCell ref="D71:D75"/>
    <mergeCell ref="E71:E75"/>
    <mergeCell ref="B76:B80"/>
    <mergeCell ref="A76:A80"/>
    <mergeCell ref="C76:C80"/>
    <mergeCell ref="D76:D80"/>
    <mergeCell ref="E76:E80"/>
    <mergeCell ref="H71:H75"/>
  </mergeCells>
  <pageMargins left="0.39370078740157483" right="0.19685039370078741" top="3.937007874015748E-2" bottom="3.937007874015748E-2" header="0.31496062992125984" footer="0.31496062992125984"/>
  <pageSetup paperSize="9" scale="7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6"/>
  <sheetViews>
    <sheetView zoomScale="80" zoomScaleNormal="80" workbookViewId="0">
      <selection activeCell="G63" sqref="G63"/>
    </sheetView>
  </sheetViews>
  <sheetFormatPr defaultColWidth="8.88671875" defaultRowHeight="13.8"/>
  <cols>
    <col min="1" max="1" width="4.6640625" style="355" customWidth="1"/>
    <col min="2" max="2" width="62.88671875" style="355" customWidth="1"/>
    <col min="3" max="3" width="9.6640625" style="355" customWidth="1"/>
    <col min="4" max="4" width="9.5546875" style="355" customWidth="1"/>
    <col min="5" max="5" width="10.33203125" style="355" customWidth="1"/>
    <col min="6" max="6" width="22.6640625" style="355" customWidth="1"/>
    <col min="7" max="7" width="24.33203125" style="355" customWidth="1"/>
    <col min="8" max="8" width="31.88671875" style="355" customWidth="1"/>
    <col min="9" max="9" width="30.88671875" style="601" hidden="1" customWidth="1"/>
    <col min="10" max="10" width="16.88671875" style="602" customWidth="1"/>
    <col min="11" max="11" width="14.6640625" style="355" customWidth="1"/>
    <col min="12" max="12" width="22.44140625" style="355" customWidth="1"/>
    <col min="13" max="13" width="4.109375" style="355" customWidth="1"/>
    <col min="14" max="14" width="25.88671875" style="355" customWidth="1"/>
    <col min="15" max="15" width="11" style="355" bestFit="1" customWidth="1"/>
    <col min="16" max="16384" width="8.88671875" style="355"/>
  </cols>
  <sheetData>
    <row r="1" spans="1:17" ht="40.200000000000003" customHeight="1">
      <c r="B1" s="831"/>
      <c r="C1" s="831"/>
      <c r="D1" s="831"/>
      <c r="E1" s="831"/>
      <c r="F1" s="598"/>
      <c r="G1" s="956" t="s">
        <v>576</v>
      </c>
      <c r="H1" s="956"/>
      <c r="I1" s="599"/>
      <c r="J1" s="600"/>
    </row>
    <row r="2" spans="1:17" ht="22.8" customHeight="1">
      <c r="A2" s="957" t="s">
        <v>577</v>
      </c>
      <c r="B2" s="957"/>
      <c r="C2" s="957"/>
      <c r="D2" s="957"/>
      <c r="E2" s="957"/>
      <c r="F2" s="957"/>
      <c r="G2" s="957"/>
      <c r="H2" s="957"/>
    </row>
    <row r="3" spans="1:17" ht="12.6" customHeight="1">
      <c r="A3" s="588"/>
      <c r="B3" s="588"/>
      <c r="C3" s="588"/>
      <c r="D3" s="588"/>
      <c r="E3" s="588"/>
      <c r="F3" s="588"/>
      <c r="G3" s="588"/>
      <c r="H3" s="532" t="s">
        <v>22</v>
      </c>
    </row>
    <row r="4" spans="1:17" ht="17.399999999999999" customHeight="1">
      <c r="A4" s="839" t="s">
        <v>0</v>
      </c>
      <c r="B4" s="840" t="s">
        <v>6</v>
      </c>
      <c r="C4" s="840" t="s">
        <v>17</v>
      </c>
      <c r="D4" s="840"/>
      <c r="E4" s="840" t="s">
        <v>8</v>
      </c>
      <c r="F4" s="840" t="s">
        <v>19</v>
      </c>
      <c r="G4" s="958" t="s">
        <v>878</v>
      </c>
      <c r="H4" s="840" t="s">
        <v>23</v>
      </c>
    </row>
    <row r="5" spans="1:17" ht="19.95" customHeight="1">
      <c r="A5" s="839"/>
      <c r="B5" s="840"/>
      <c r="C5" s="589" t="s">
        <v>7</v>
      </c>
      <c r="D5" s="589" t="s">
        <v>18</v>
      </c>
      <c r="E5" s="840"/>
      <c r="F5" s="840"/>
      <c r="G5" s="959"/>
      <c r="H5" s="840"/>
      <c r="J5" s="931" t="s">
        <v>1021</v>
      </c>
      <c r="K5" s="931"/>
      <c r="L5" s="603"/>
      <c r="M5" s="603"/>
      <c r="N5" s="603"/>
      <c r="O5" s="603"/>
      <c r="P5" s="603"/>
      <c r="Q5" s="603"/>
    </row>
    <row r="6" spans="1:17" ht="12.6" customHeight="1">
      <c r="A6" s="832"/>
      <c r="B6" s="835" t="s">
        <v>569</v>
      </c>
      <c r="C6" s="932" t="s">
        <v>9</v>
      </c>
      <c r="D6" s="932" t="s">
        <v>9</v>
      </c>
      <c r="E6" s="932" t="s">
        <v>9</v>
      </c>
      <c r="F6" s="431" t="s">
        <v>20</v>
      </c>
      <c r="G6" s="4">
        <f>SUM(G7:G9)</f>
        <v>125291.96743</v>
      </c>
      <c r="H6" s="920" t="s">
        <v>9</v>
      </c>
      <c r="J6" s="574">
        <f>SUM(J7:J9)</f>
        <v>10638.492960000001</v>
      </c>
      <c r="K6" s="575"/>
      <c r="L6" s="603"/>
      <c r="M6" s="603"/>
      <c r="N6" s="603"/>
      <c r="O6" s="603"/>
      <c r="P6" s="603"/>
      <c r="Q6" s="603"/>
    </row>
    <row r="7" spans="1:17" ht="12.6" customHeight="1">
      <c r="A7" s="935"/>
      <c r="B7" s="929"/>
      <c r="C7" s="933"/>
      <c r="D7" s="933"/>
      <c r="E7" s="933"/>
      <c r="F7" s="431" t="s">
        <v>24</v>
      </c>
      <c r="G7" s="4">
        <f>G12+G63</f>
        <v>109973.92396</v>
      </c>
      <c r="H7" s="920"/>
      <c r="J7" s="574">
        <f>G43+G17</f>
        <v>9973.9239600000001</v>
      </c>
      <c r="K7" s="930">
        <f>J7+J8</f>
        <v>10578.077600000001</v>
      </c>
      <c r="L7" s="604">
        <f>J7/K7*100</f>
        <v>94.288625373669021</v>
      </c>
      <c r="M7" s="603"/>
      <c r="N7" s="605">
        <v>9882.5567300000002</v>
      </c>
      <c r="O7" s="606">
        <f>J7-N7</f>
        <v>91.367229999999836</v>
      </c>
      <c r="P7" s="603"/>
      <c r="Q7" s="603"/>
    </row>
    <row r="8" spans="1:17" ht="12.6" customHeight="1">
      <c r="A8" s="935"/>
      <c r="B8" s="929"/>
      <c r="C8" s="933"/>
      <c r="D8" s="933"/>
      <c r="E8" s="933"/>
      <c r="F8" s="431" t="s">
        <v>10</v>
      </c>
      <c r="G8" s="4">
        <f t="shared" ref="G8" si="0">G13+G64</f>
        <v>604.15364</v>
      </c>
      <c r="H8" s="920"/>
      <c r="J8" s="574">
        <f>G44+G18</f>
        <v>604.15364</v>
      </c>
      <c r="K8" s="931"/>
      <c r="L8" s="607"/>
      <c r="M8" s="603"/>
      <c r="N8" s="605">
        <v>598.61920999999995</v>
      </c>
      <c r="O8" s="606">
        <f t="shared" ref="O8:O9" si="1">J8-N8</f>
        <v>5.534430000000043</v>
      </c>
      <c r="P8" s="603"/>
      <c r="Q8" s="603"/>
    </row>
    <row r="9" spans="1:17" ht="12.6" customHeight="1">
      <c r="A9" s="935"/>
      <c r="B9" s="929"/>
      <c r="C9" s="933"/>
      <c r="D9" s="933"/>
      <c r="E9" s="933"/>
      <c r="F9" s="431" t="s">
        <v>971</v>
      </c>
      <c r="G9" s="4">
        <f>G14+G65+G115</f>
        <v>14713.88983</v>
      </c>
      <c r="H9" s="920"/>
      <c r="J9" s="574">
        <f>G45+G19</f>
        <v>60.41536</v>
      </c>
      <c r="K9" s="575"/>
      <c r="L9" s="604">
        <f>J9/J6*100</f>
        <v>0.56789396982408669</v>
      </c>
      <c r="M9" s="603"/>
      <c r="N9" s="605">
        <v>59.861919999999998</v>
      </c>
      <c r="O9" s="606">
        <f t="shared" si="1"/>
        <v>0.55344000000000193</v>
      </c>
      <c r="P9" s="603"/>
      <c r="Q9" s="603"/>
    </row>
    <row r="10" spans="1:17" ht="12.6" customHeight="1">
      <c r="A10" s="936"/>
      <c r="B10" s="823"/>
      <c r="C10" s="934"/>
      <c r="D10" s="934"/>
      <c r="E10" s="934"/>
      <c r="F10" s="431" t="s">
        <v>972</v>
      </c>
      <c r="G10" s="4">
        <f>G15+G66</f>
        <v>0</v>
      </c>
      <c r="H10" s="920"/>
      <c r="J10" s="574"/>
      <c r="K10" s="575"/>
      <c r="L10" s="607"/>
      <c r="M10" s="603"/>
      <c r="N10" s="603"/>
      <c r="O10" s="603"/>
      <c r="P10" s="603"/>
      <c r="Q10" s="603"/>
    </row>
    <row r="11" spans="1:17" ht="18" customHeight="1">
      <c r="A11" s="937" t="s">
        <v>3</v>
      </c>
      <c r="B11" s="835" t="s">
        <v>656</v>
      </c>
      <c r="C11" s="835" t="s">
        <v>9</v>
      </c>
      <c r="D11" s="835" t="s">
        <v>9</v>
      </c>
      <c r="E11" s="835" t="s">
        <v>770</v>
      </c>
      <c r="F11" s="431" t="s">
        <v>20</v>
      </c>
      <c r="G11" s="2">
        <f>SUM(G12:G15)</f>
        <v>10638.492960000001</v>
      </c>
      <c r="H11" s="815" t="s">
        <v>9</v>
      </c>
      <c r="I11" s="608">
        <f>I12+I13+I14</f>
        <v>15553.630299999999</v>
      </c>
      <c r="J11" s="576"/>
      <c r="K11" s="575"/>
      <c r="L11" s="603"/>
      <c r="M11" s="603"/>
      <c r="N11" s="603"/>
      <c r="O11" s="603"/>
      <c r="P11" s="603"/>
      <c r="Q11" s="603"/>
    </row>
    <row r="12" spans="1:17" ht="18" customHeight="1">
      <c r="A12" s="938"/>
      <c r="B12" s="929"/>
      <c r="C12" s="929"/>
      <c r="D12" s="929"/>
      <c r="E12" s="929"/>
      <c r="F12" s="431" t="s">
        <v>24</v>
      </c>
      <c r="G12" s="4">
        <f>G17+G43</f>
        <v>9973.9239600000001</v>
      </c>
      <c r="H12" s="815"/>
      <c r="I12" s="602">
        <v>15382.70953</v>
      </c>
      <c r="J12" s="576"/>
      <c r="K12" s="575"/>
      <c r="L12" s="603"/>
      <c r="M12" s="603"/>
      <c r="N12" s="603"/>
      <c r="O12" s="606">
        <f>G17-O7</f>
        <v>4072.5465100000001</v>
      </c>
      <c r="P12" s="603"/>
      <c r="Q12" s="603"/>
    </row>
    <row r="13" spans="1:17" ht="18" customHeight="1">
      <c r="A13" s="938"/>
      <c r="B13" s="929"/>
      <c r="C13" s="929"/>
      <c r="D13" s="929"/>
      <c r="E13" s="929"/>
      <c r="F13" s="431" t="s">
        <v>10</v>
      </c>
      <c r="G13" s="4">
        <f t="shared" ref="G13:G15" si="2">G18+G44</f>
        <v>604.15364</v>
      </c>
      <c r="H13" s="815"/>
      <c r="I13" s="602">
        <v>155.38252</v>
      </c>
      <c r="J13" s="576"/>
      <c r="K13" s="575"/>
      <c r="L13" s="603"/>
      <c r="M13" s="603"/>
      <c r="N13" s="603"/>
      <c r="O13" s="603"/>
      <c r="P13" s="603"/>
      <c r="Q13" s="603"/>
    </row>
    <row r="14" spans="1:17" ht="18" customHeight="1">
      <c r="A14" s="938"/>
      <c r="B14" s="929"/>
      <c r="C14" s="929"/>
      <c r="D14" s="929"/>
      <c r="E14" s="929"/>
      <c r="F14" s="431" t="s">
        <v>971</v>
      </c>
      <c r="G14" s="4">
        <f t="shared" si="2"/>
        <v>60.41536</v>
      </c>
      <c r="H14" s="815"/>
      <c r="I14" s="609">
        <v>15.53825</v>
      </c>
      <c r="J14" s="576"/>
      <c r="K14" s="575"/>
      <c r="L14" s="603"/>
      <c r="M14" s="603"/>
      <c r="N14" s="606"/>
      <c r="O14" s="603"/>
      <c r="P14" s="603"/>
      <c r="Q14" s="603"/>
    </row>
    <row r="15" spans="1:17" ht="18" customHeight="1">
      <c r="A15" s="828"/>
      <c r="B15" s="823"/>
      <c r="C15" s="823"/>
      <c r="D15" s="823"/>
      <c r="E15" s="823"/>
      <c r="F15" s="431" t="s">
        <v>972</v>
      </c>
      <c r="G15" s="4">
        <f t="shared" si="2"/>
        <v>0</v>
      </c>
      <c r="H15" s="815"/>
      <c r="I15" s="609"/>
      <c r="J15" s="576"/>
      <c r="K15" s="575"/>
      <c r="L15" s="603"/>
      <c r="M15" s="603"/>
      <c r="N15" s="606"/>
      <c r="O15" s="603"/>
      <c r="P15" s="603"/>
      <c r="Q15" s="603"/>
    </row>
    <row r="16" spans="1:17" ht="18" customHeight="1">
      <c r="A16" s="942" t="s">
        <v>25</v>
      </c>
      <c r="B16" s="945" t="s">
        <v>407</v>
      </c>
      <c r="C16" s="835" t="s">
        <v>27</v>
      </c>
      <c r="D16" s="948">
        <f>D21</f>
        <v>1127.72</v>
      </c>
      <c r="E16" s="835" t="s">
        <v>770</v>
      </c>
      <c r="F16" s="431" t="s">
        <v>20</v>
      </c>
      <c r="G16" s="3">
        <f>SUM(G17:G20)</f>
        <v>4441.3580000000002</v>
      </c>
      <c r="H16" s="916" t="s">
        <v>84</v>
      </c>
      <c r="I16" s="610"/>
      <c r="J16" s="576"/>
      <c r="K16" s="576"/>
      <c r="L16" s="603"/>
      <c r="M16" s="603"/>
      <c r="N16" s="603"/>
      <c r="O16" s="603"/>
      <c r="P16" s="603"/>
      <c r="Q16" s="603"/>
    </row>
    <row r="17" spans="1:17" ht="18" customHeight="1">
      <c r="A17" s="943"/>
      <c r="B17" s="946"/>
      <c r="C17" s="929"/>
      <c r="D17" s="949"/>
      <c r="E17" s="929"/>
      <c r="F17" s="431" t="s">
        <v>24</v>
      </c>
      <c r="G17" s="3">
        <f>G22</f>
        <v>4163.91374</v>
      </c>
      <c r="H17" s="916"/>
      <c r="I17" s="610" t="e">
        <f>G22+G27+#REF!+G31</f>
        <v>#REF!</v>
      </c>
      <c r="J17" s="576"/>
      <c r="K17" s="576"/>
      <c r="L17" s="603"/>
      <c r="M17" s="603"/>
      <c r="N17" s="606"/>
      <c r="O17" s="603"/>
      <c r="P17" s="603"/>
      <c r="Q17" s="603"/>
    </row>
    <row r="18" spans="1:17" ht="18" customHeight="1">
      <c r="A18" s="943"/>
      <c r="B18" s="946"/>
      <c r="C18" s="929"/>
      <c r="D18" s="949"/>
      <c r="E18" s="929"/>
      <c r="F18" s="431" t="s">
        <v>10</v>
      </c>
      <c r="G18" s="3">
        <f>G23</f>
        <v>252.22206</v>
      </c>
      <c r="H18" s="916"/>
      <c r="I18" s="610" t="e">
        <f>G23+G28+#REF!+G32</f>
        <v>#REF!</v>
      </c>
      <c r="J18" s="576"/>
      <c r="K18" s="575"/>
      <c r="L18" s="603"/>
      <c r="M18" s="603"/>
      <c r="N18" s="606"/>
      <c r="O18" s="603"/>
      <c r="P18" s="603"/>
      <c r="Q18" s="603"/>
    </row>
    <row r="19" spans="1:17" ht="18" customHeight="1">
      <c r="A19" s="943"/>
      <c r="B19" s="946"/>
      <c r="C19" s="929"/>
      <c r="D19" s="949"/>
      <c r="E19" s="929"/>
      <c r="F19" s="431" t="s">
        <v>971</v>
      </c>
      <c r="G19" s="3">
        <f>G24</f>
        <v>25.222200000000001</v>
      </c>
      <c r="H19" s="916"/>
      <c r="I19" s="610"/>
      <c r="J19" s="576"/>
      <c r="K19" s="575"/>
      <c r="L19" s="603"/>
      <c r="M19" s="603"/>
      <c r="N19" s="603"/>
      <c r="O19" s="603"/>
      <c r="P19" s="603"/>
      <c r="Q19" s="603"/>
    </row>
    <row r="20" spans="1:17" ht="18" customHeight="1">
      <c r="A20" s="944"/>
      <c r="B20" s="947"/>
      <c r="C20" s="823"/>
      <c r="D20" s="950"/>
      <c r="E20" s="823"/>
      <c r="F20" s="431" t="s">
        <v>972</v>
      </c>
      <c r="G20" s="3">
        <f>G25</f>
        <v>0</v>
      </c>
      <c r="H20" s="916"/>
      <c r="I20" s="610"/>
      <c r="J20" s="576"/>
      <c r="K20" s="575"/>
      <c r="L20" s="603"/>
      <c r="M20" s="603"/>
      <c r="N20" s="603"/>
      <c r="O20" s="603"/>
      <c r="P20" s="603"/>
      <c r="Q20" s="603"/>
    </row>
    <row r="21" spans="1:17" ht="18.600000000000001" customHeight="1">
      <c r="A21" s="951" t="s">
        <v>12</v>
      </c>
      <c r="B21" s="868" t="s">
        <v>1002</v>
      </c>
      <c r="C21" s="818" t="s">
        <v>27</v>
      </c>
      <c r="D21" s="881">
        <v>1127.72</v>
      </c>
      <c r="E21" s="818" t="s">
        <v>770</v>
      </c>
      <c r="F21" s="431" t="s">
        <v>20</v>
      </c>
      <c r="G21" s="3">
        <f>G22+G23+G24+G25</f>
        <v>4441.3580000000002</v>
      </c>
      <c r="H21" s="912" t="s">
        <v>84</v>
      </c>
      <c r="I21" s="610"/>
      <c r="J21" s="573">
        <v>5431.6491500000002</v>
      </c>
      <c r="K21" s="576"/>
      <c r="L21" s="603"/>
      <c r="M21" s="603"/>
      <c r="N21" s="603"/>
      <c r="O21" s="603"/>
      <c r="P21" s="603"/>
      <c r="Q21" s="603"/>
    </row>
    <row r="22" spans="1:17" ht="18.600000000000001" customHeight="1">
      <c r="A22" s="951"/>
      <c r="B22" s="868"/>
      <c r="C22" s="818"/>
      <c r="D22" s="882"/>
      <c r="E22" s="818"/>
      <c r="F22" s="39" t="s">
        <v>24</v>
      </c>
      <c r="G22" s="3">
        <v>4163.91374</v>
      </c>
      <c r="H22" s="912"/>
      <c r="I22" s="611">
        <f>ROUND(I12/I11,16)</f>
        <v>0.98901087612967098</v>
      </c>
      <c r="J22" s="612"/>
      <c r="K22" s="606"/>
      <c r="L22" s="603"/>
      <c r="M22" s="603"/>
      <c r="N22" s="603"/>
      <c r="O22" s="603"/>
      <c r="P22" s="603"/>
      <c r="Q22" s="603"/>
    </row>
    <row r="23" spans="1:17" ht="18.600000000000001" customHeight="1">
      <c r="A23" s="951"/>
      <c r="B23" s="868"/>
      <c r="C23" s="818"/>
      <c r="D23" s="882"/>
      <c r="E23" s="818"/>
      <c r="F23" s="39" t="s">
        <v>10</v>
      </c>
      <c r="G23" s="3">
        <v>252.22206</v>
      </c>
      <c r="H23" s="912"/>
      <c r="I23" s="611">
        <f>ROUND(I13/I11,16)</f>
        <v>9.9901127262874995E-3</v>
      </c>
      <c r="J23" s="612"/>
      <c r="K23" s="606"/>
      <c r="L23" s="603"/>
      <c r="M23" s="603"/>
      <c r="N23" s="603"/>
      <c r="O23" s="603"/>
      <c r="P23" s="603"/>
      <c r="Q23" s="603"/>
    </row>
    <row r="24" spans="1:17" ht="18.600000000000001" customHeight="1">
      <c r="A24" s="951"/>
      <c r="B24" s="868"/>
      <c r="C24" s="818"/>
      <c r="D24" s="882"/>
      <c r="E24" s="818"/>
      <c r="F24" s="39" t="s">
        <v>971</v>
      </c>
      <c r="G24" s="3">
        <v>25.222200000000001</v>
      </c>
      <c r="H24" s="912"/>
      <c r="I24" s="611"/>
      <c r="J24" s="612"/>
      <c r="K24" s="603"/>
      <c r="L24" s="603"/>
      <c r="M24" s="603"/>
      <c r="N24" s="603"/>
      <c r="O24" s="603"/>
      <c r="P24" s="603"/>
      <c r="Q24" s="603"/>
    </row>
    <row r="25" spans="1:17" ht="18.600000000000001" customHeight="1">
      <c r="A25" s="951"/>
      <c r="B25" s="868"/>
      <c r="C25" s="818"/>
      <c r="D25" s="883"/>
      <c r="E25" s="818"/>
      <c r="F25" s="39" t="s">
        <v>972</v>
      </c>
      <c r="G25" s="3"/>
      <c r="H25" s="912"/>
      <c r="I25" s="611">
        <f>ROUND(I14/I11,16)</f>
        <v>9.9901114404140007E-4</v>
      </c>
      <c r="J25" s="613"/>
      <c r="K25" s="603"/>
      <c r="L25" s="603"/>
      <c r="M25" s="603"/>
      <c r="N25" s="603"/>
      <c r="O25" s="603"/>
      <c r="P25" s="603"/>
      <c r="Q25" s="603"/>
    </row>
    <row r="26" spans="1:17" ht="18.600000000000001" hidden="1" customHeight="1">
      <c r="A26" s="951" t="s">
        <v>518</v>
      </c>
      <c r="B26" s="868"/>
      <c r="C26" s="818" t="s">
        <v>27</v>
      </c>
      <c r="D26" s="881"/>
      <c r="E26" s="818" t="s">
        <v>517</v>
      </c>
      <c r="F26" s="431" t="s">
        <v>20</v>
      </c>
      <c r="G26" s="3"/>
      <c r="H26" s="912" t="s">
        <v>84</v>
      </c>
      <c r="I26" s="610"/>
      <c r="J26" s="612"/>
      <c r="K26" s="603"/>
      <c r="L26" s="603"/>
      <c r="M26" s="603"/>
      <c r="N26" s="603"/>
      <c r="O26" s="603"/>
      <c r="P26" s="603"/>
      <c r="Q26" s="603"/>
    </row>
    <row r="27" spans="1:17" ht="18.600000000000001" hidden="1" customHeight="1">
      <c r="A27" s="951"/>
      <c r="B27" s="868"/>
      <c r="C27" s="818"/>
      <c r="D27" s="882"/>
      <c r="E27" s="818"/>
      <c r="F27" s="39" t="s">
        <v>24</v>
      </c>
      <c r="G27" s="213"/>
      <c r="H27" s="912"/>
      <c r="I27" s="614"/>
      <c r="J27" s="612"/>
      <c r="K27" s="603"/>
      <c r="L27" s="603"/>
      <c r="M27" s="603"/>
      <c r="N27" s="603"/>
      <c r="O27" s="603"/>
      <c r="P27" s="603"/>
      <c r="Q27" s="603"/>
    </row>
    <row r="28" spans="1:17" ht="18.600000000000001" hidden="1" customHeight="1">
      <c r="A28" s="951"/>
      <c r="B28" s="868"/>
      <c r="C28" s="818"/>
      <c r="D28" s="882"/>
      <c r="E28" s="818"/>
      <c r="F28" s="39" t="s">
        <v>10</v>
      </c>
      <c r="G28" s="213"/>
      <c r="H28" s="912"/>
      <c r="I28" s="614"/>
      <c r="J28" s="612"/>
      <c r="K28" s="603"/>
      <c r="L28" s="603"/>
      <c r="M28" s="603"/>
      <c r="N28" s="603"/>
      <c r="O28" s="603"/>
      <c r="P28" s="603"/>
      <c r="Q28" s="603"/>
    </row>
    <row r="29" spans="1:17" ht="18.600000000000001" hidden="1" customHeight="1">
      <c r="A29" s="951"/>
      <c r="B29" s="868"/>
      <c r="C29" s="818"/>
      <c r="D29" s="883"/>
      <c r="E29" s="818"/>
      <c r="F29" s="39" t="s">
        <v>11</v>
      </c>
      <c r="G29" s="5"/>
      <c r="H29" s="912"/>
      <c r="I29" s="614"/>
      <c r="J29" s="612"/>
      <c r="K29" s="603"/>
      <c r="L29" s="603"/>
      <c r="M29" s="603"/>
      <c r="N29" s="603"/>
      <c r="O29" s="603"/>
      <c r="P29" s="603"/>
      <c r="Q29" s="603"/>
    </row>
    <row r="30" spans="1:17" ht="18.600000000000001" hidden="1" customHeight="1">
      <c r="A30" s="951" t="s">
        <v>519</v>
      </c>
      <c r="B30" s="868"/>
      <c r="C30" s="818" t="s">
        <v>27</v>
      </c>
      <c r="D30" s="881"/>
      <c r="E30" s="818" t="s">
        <v>517</v>
      </c>
      <c r="F30" s="431" t="s">
        <v>20</v>
      </c>
      <c r="G30" s="3"/>
      <c r="H30" s="912" t="s">
        <v>84</v>
      </c>
      <c r="I30" s="610"/>
      <c r="J30" s="612"/>
      <c r="K30" s="603"/>
      <c r="L30" s="603"/>
      <c r="M30" s="603"/>
      <c r="N30" s="603"/>
      <c r="O30" s="603"/>
      <c r="P30" s="603"/>
      <c r="Q30" s="603"/>
    </row>
    <row r="31" spans="1:17" ht="18.600000000000001" hidden="1" customHeight="1">
      <c r="A31" s="951"/>
      <c r="B31" s="868"/>
      <c r="C31" s="818"/>
      <c r="D31" s="882"/>
      <c r="E31" s="818"/>
      <c r="F31" s="39" t="s">
        <v>24</v>
      </c>
      <c r="G31" s="213"/>
      <c r="H31" s="912"/>
      <c r="I31" s="614"/>
      <c r="J31" s="612"/>
      <c r="K31" s="603"/>
      <c r="L31" s="603"/>
      <c r="M31" s="603"/>
      <c r="N31" s="603"/>
      <c r="O31" s="603"/>
      <c r="P31" s="603"/>
      <c r="Q31" s="603"/>
    </row>
    <row r="32" spans="1:17" ht="18.600000000000001" hidden="1" customHeight="1">
      <c r="A32" s="951"/>
      <c r="B32" s="868"/>
      <c r="C32" s="818"/>
      <c r="D32" s="882"/>
      <c r="E32" s="818"/>
      <c r="F32" s="39" t="s">
        <v>10</v>
      </c>
      <c r="G32" s="213"/>
      <c r="H32" s="912"/>
      <c r="I32" s="614"/>
      <c r="J32" s="612"/>
      <c r="K32" s="603"/>
      <c r="L32" s="603"/>
      <c r="M32" s="603"/>
      <c r="N32" s="603"/>
      <c r="O32" s="603"/>
      <c r="P32" s="603"/>
      <c r="Q32" s="603"/>
    </row>
    <row r="33" spans="1:17" ht="18.600000000000001" hidden="1" customHeight="1">
      <c r="A33" s="951"/>
      <c r="B33" s="868"/>
      <c r="C33" s="818"/>
      <c r="D33" s="883"/>
      <c r="E33" s="818"/>
      <c r="F33" s="39" t="s">
        <v>11</v>
      </c>
      <c r="G33" s="5"/>
      <c r="H33" s="912"/>
      <c r="I33" s="614"/>
      <c r="J33" s="612"/>
      <c r="K33" s="603"/>
      <c r="L33" s="603"/>
      <c r="M33" s="603"/>
      <c r="N33" s="603"/>
      <c r="O33" s="603"/>
      <c r="P33" s="603"/>
      <c r="Q33" s="603"/>
    </row>
    <row r="34" spans="1:17" ht="18.600000000000001" hidden="1" customHeight="1">
      <c r="A34" s="951" t="s">
        <v>520</v>
      </c>
      <c r="B34" s="868"/>
      <c r="C34" s="818" t="s">
        <v>27</v>
      </c>
      <c r="D34" s="881"/>
      <c r="E34" s="818" t="s">
        <v>517</v>
      </c>
      <c r="F34" s="431" t="s">
        <v>20</v>
      </c>
      <c r="G34" s="3"/>
      <c r="H34" s="912" t="s">
        <v>84</v>
      </c>
      <c r="I34" s="610"/>
      <c r="J34" s="612"/>
      <c r="K34" s="603"/>
      <c r="L34" s="603"/>
      <c r="M34" s="603"/>
      <c r="N34" s="603"/>
      <c r="O34" s="603"/>
      <c r="P34" s="603"/>
      <c r="Q34" s="603"/>
    </row>
    <row r="35" spans="1:17" ht="18.600000000000001" hidden="1" customHeight="1">
      <c r="A35" s="951"/>
      <c r="B35" s="868"/>
      <c r="C35" s="818"/>
      <c r="D35" s="882"/>
      <c r="E35" s="818"/>
      <c r="F35" s="39" t="s">
        <v>24</v>
      </c>
      <c r="G35" s="244"/>
      <c r="H35" s="912"/>
      <c r="I35" s="614"/>
      <c r="J35" s="612"/>
      <c r="K35" s="603"/>
      <c r="L35" s="603"/>
      <c r="M35" s="603"/>
      <c r="N35" s="603"/>
      <c r="O35" s="603"/>
      <c r="P35" s="603"/>
      <c r="Q35" s="603"/>
    </row>
    <row r="36" spans="1:17" ht="18.600000000000001" hidden="1" customHeight="1">
      <c r="A36" s="951"/>
      <c r="B36" s="868"/>
      <c r="C36" s="818"/>
      <c r="D36" s="882"/>
      <c r="E36" s="818"/>
      <c r="F36" s="39" t="s">
        <v>10</v>
      </c>
      <c r="G36" s="244"/>
      <c r="H36" s="912"/>
      <c r="I36" s="614"/>
      <c r="J36" s="612"/>
      <c r="K36" s="603"/>
      <c r="L36" s="603"/>
      <c r="M36" s="603"/>
      <c r="N36" s="603"/>
      <c r="O36" s="603"/>
      <c r="P36" s="603"/>
      <c r="Q36" s="603"/>
    </row>
    <row r="37" spans="1:17" ht="18.600000000000001" hidden="1" customHeight="1">
      <c r="A37" s="951"/>
      <c r="B37" s="868"/>
      <c r="C37" s="818"/>
      <c r="D37" s="883"/>
      <c r="E37" s="818"/>
      <c r="F37" s="39" t="s">
        <v>11</v>
      </c>
      <c r="G37" s="9"/>
      <c r="H37" s="912"/>
      <c r="I37" s="614"/>
      <c r="J37" s="612"/>
      <c r="K37" s="603"/>
      <c r="L37" s="603"/>
      <c r="M37" s="603"/>
      <c r="N37" s="603"/>
      <c r="O37" s="603"/>
      <c r="P37" s="603"/>
      <c r="Q37" s="603"/>
    </row>
    <row r="38" spans="1:17" ht="18.600000000000001" hidden="1" customHeight="1">
      <c r="A38" s="951" t="s">
        <v>521</v>
      </c>
      <c r="B38" s="868"/>
      <c r="C38" s="818" t="s">
        <v>27</v>
      </c>
      <c r="D38" s="881"/>
      <c r="E38" s="818" t="s">
        <v>517</v>
      </c>
      <c r="F38" s="431" t="s">
        <v>20</v>
      </c>
      <c r="G38" s="3"/>
      <c r="H38" s="912" t="s">
        <v>84</v>
      </c>
      <c r="I38" s="209"/>
      <c r="J38" s="612"/>
      <c r="K38" s="603"/>
      <c r="L38" s="603"/>
      <c r="M38" s="603"/>
      <c r="N38" s="603"/>
      <c r="O38" s="603"/>
      <c r="P38" s="603"/>
      <c r="Q38" s="603"/>
    </row>
    <row r="39" spans="1:17" ht="18.600000000000001" hidden="1" customHeight="1">
      <c r="A39" s="951"/>
      <c r="B39" s="868"/>
      <c r="C39" s="818"/>
      <c r="D39" s="882"/>
      <c r="E39" s="818"/>
      <c r="F39" s="39" t="s">
        <v>24</v>
      </c>
      <c r="G39" s="213"/>
      <c r="H39" s="912"/>
      <c r="I39" s="615"/>
      <c r="J39" s="612"/>
      <c r="K39" s="603"/>
      <c r="L39" s="603"/>
      <c r="M39" s="603"/>
      <c r="N39" s="603"/>
      <c r="O39" s="603"/>
      <c r="P39" s="603"/>
      <c r="Q39" s="603"/>
    </row>
    <row r="40" spans="1:17" ht="18.600000000000001" hidden="1" customHeight="1">
      <c r="A40" s="951"/>
      <c r="B40" s="868"/>
      <c r="C40" s="818"/>
      <c r="D40" s="882"/>
      <c r="E40" s="818"/>
      <c r="F40" s="39" t="s">
        <v>10</v>
      </c>
      <c r="G40" s="213"/>
      <c r="H40" s="912"/>
      <c r="I40" s="602"/>
      <c r="J40" s="612"/>
      <c r="K40" s="603"/>
      <c r="L40" s="603"/>
      <c r="M40" s="603"/>
      <c r="N40" s="603"/>
      <c r="O40" s="603"/>
      <c r="P40" s="603"/>
      <c r="Q40" s="603"/>
    </row>
    <row r="41" spans="1:17" ht="18.600000000000001" hidden="1" customHeight="1">
      <c r="A41" s="951"/>
      <c r="B41" s="868"/>
      <c r="C41" s="818"/>
      <c r="D41" s="883"/>
      <c r="E41" s="818"/>
      <c r="F41" s="39" t="s">
        <v>11</v>
      </c>
      <c r="G41" s="5"/>
      <c r="H41" s="912"/>
      <c r="I41" s="602"/>
      <c r="J41" s="612"/>
      <c r="K41" s="603"/>
      <c r="L41" s="603"/>
      <c r="M41" s="603"/>
      <c r="N41" s="603"/>
      <c r="O41" s="603"/>
      <c r="P41" s="603"/>
      <c r="Q41" s="603"/>
    </row>
    <row r="42" spans="1:17" ht="18.600000000000001" customHeight="1">
      <c r="A42" s="942" t="s">
        <v>45</v>
      </c>
      <c r="B42" s="945" t="s">
        <v>364</v>
      </c>
      <c r="C42" s="616" t="s">
        <v>27</v>
      </c>
      <c r="D42" s="617">
        <f>D52+D57</f>
        <v>926.08</v>
      </c>
      <c r="E42" s="835" t="s">
        <v>770</v>
      </c>
      <c r="F42" s="431" t="s">
        <v>20</v>
      </c>
      <c r="G42" s="3">
        <f>SUM(G43:G45)</f>
        <v>6197.1349600000003</v>
      </c>
      <c r="H42" s="916" t="s">
        <v>9</v>
      </c>
      <c r="I42" s="618"/>
      <c r="J42" s="573"/>
      <c r="K42" s="603"/>
      <c r="L42" s="603"/>
      <c r="M42" s="603"/>
      <c r="N42" s="603"/>
      <c r="O42" s="603"/>
      <c r="P42" s="603"/>
      <c r="Q42" s="603"/>
    </row>
    <row r="43" spans="1:17" ht="18.600000000000001" customHeight="1">
      <c r="A43" s="943"/>
      <c r="B43" s="946"/>
      <c r="C43" s="619"/>
      <c r="D43" s="620"/>
      <c r="E43" s="929"/>
      <c r="F43" s="431" t="s">
        <v>24</v>
      </c>
      <c r="G43" s="3">
        <f>G48+G53+G58</f>
        <v>5810.0102200000001</v>
      </c>
      <c r="H43" s="916"/>
      <c r="I43" s="618"/>
      <c r="J43" s="573"/>
      <c r="K43" s="603"/>
      <c r="L43" s="603"/>
      <c r="M43" s="603"/>
      <c r="N43" s="603"/>
      <c r="O43" s="603"/>
      <c r="P43" s="603"/>
      <c r="Q43" s="603"/>
    </row>
    <row r="44" spans="1:17" ht="18.600000000000001" customHeight="1">
      <c r="A44" s="943"/>
      <c r="B44" s="946"/>
      <c r="C44" s="619" t="s">
        <v>1069</v>
      </c>
      <c r="D44" s="620">
        <f>D52</f>
        <v>230</v>
      </c>
      <c r="E44" s="929"/>
      <c r="F44" s="431" t="s">
        <v>10</v>
      </c>
      <c r="G44" s="3">
        <f t="shared" ref="G44:G46" si="3">G49+G54+G59</f>
        <v>351.93158</v>
      </c>
      <c r="H44" s="916"/>
      <c r="I44" s="618"/>
      <c r="J44" s="573"/>
      <c r="K44" s="603"/>
      <c r="L44" s="603"/>
      <c r="M44" s="603"/>
      <c r="N44" s="603"/>
      <c r="O44" s="603"/>
      <c r="P44" s="603"/>
      <c r="Q44" s="603"/>
    </row>
    <row r="45" spans="1:17" ht="18.600000000000001" customHeight="1">
      <c r="A45" s="943"/>
      <c r="B45" s="946"/>
      <c r="C45" s="619"/>
      <c r="D45" s="621"/>
      <c r="E45" s="929"/>
      <c r="F45" s="431" t="s">
        <v>971</v>
      </c>
      <c r="G45" s="3">
        <f t="shared" si="3"/>
        <v>35.193159999999999</v>
      </c>
      <c r="H45" s="916"/>
      <c r="I45" s="618"/>
      <c r="J45" s="573"/>
      <c r="K45" s="603"/>
      <c r="L45" s="603"/>
      <c r="M45" s="603"/>
      <c r="N45" s="603"/>
      <c r="O45" s="603"/>
      <c r="P45" s="603"/>
      <c r="Q45" s="603"/>
    </row>
    <row r="46" spans="1:17" ht="18.600000000000001" customHeight="1">
      <c r="A46" s="944"/>
      <c r="B46" s="947"/>
      <c r="C46" s="622"/>
      <c r="D46" s="623"/>
      <c r="E46" s="823"/>
      <c r="F46" s="431" t="s">
        <v>972</v>
      </c>
      <c r="G46" s="3">
        <f t="shared" si="3"/>
        <v>0</v>
      </c>
      <c r="H46" s="916"/>
      <c r="I46" s="618"/>
      <c r="J46" s="573" t="s">
        <v>1024</v>
      </c>
      <c r="K46" s="603"/>
      <c r="L46" s="603"/>
      <c r="M46" s="603"/>
      <c r="N46" s="603"/>
      <c r="O46" s="603"/>
      <c r="P46" s="603"/>
      <c r="Q46" s="603"/>
    </row>
    <row r="47" spans="1:17" ht="16.8" customHeight="1">
      <c r="A47" s="923" t="s">
        <v>16</v>
      </c>
      <c r="B47" s="926" t="s">
        <v>1016</v>
      </c>
      <c r="C47" s="932" t="s">
        <v>1069</v>
      </c>
      <c r="D47" s="939">
        <v>29</v>
      </c>
      <c r="E47" s="932" t="s">
        <v>1033</v>
      </c>
      <c r="F47" s="431" t="s">
        <v>20</v>
      </c>
      <c r="G47" s="3">
        <f>SUM(G48:G50)</f>
        <v>1040.1031</v>
      </c>
      <c r="H47" s="912" t="s">
        <v>84</v>
      </c>
      <c r="I47" s="624">
        <v>6023.9049999999997</v>
      </c>
      <c r="J47" s="573">
        <v>986.202</v>
      </c>
      <c r="K47" s="603"/>
      <c r="L47" s="603"/>
      <c r="M47" s="603"/>
      <c r="N47" s="603"/>
      <c r="O47" s="603"/>
      <c r="P47" s="603"/>
      <c r="Q47" s="603"/>
    </row>
    <row r="48" spans="1:17" ht="16.8" customHeight="1">
      <c r="A48" s="924"/>
      <c r="B48" s="927"/>
      <c r="C48" s="933"/>
      <c r="D48" s="940"/>
      <c r="E48" s="933"/>
      <c r="F48" s="39" t="s">
        <v>24</v>
      </c>
      <c r="G48" s="213">
        <v>975.12959000000001</v>
      </c>
      <c r="H48" s="912"/>
      <c r="I48" s="624">
        <f>ROUND(I47*I22,5)</f>
        <v>5957.7075599999998</v>
      </c>
      <c r="J48" s="573"/>
      <c r="K48" s="603"/>
      <c r="L48" s="603"/>
      <c r="M48" s="603"/>
      <c r="N48" s="603"/>
      <c r="O48" s="603"/>
      <c r="P48" s="603"/>
      <c r="Q48" s="603"/>
    </row>
    <row r="49" spans="1:17" ht="16.8" customHeight="1">
      <c r="A49" s="924"/>
      <c r="B49" s="927"/>
      <c r="C49" s="933"/>
      <c r="D49" s="940"/>
      <c r="E49" s="933"/>
      <c r="F49" s="39" t="s">
        <v>10</v>
      </c>
      <c r="G49" s="213">
        <v>59.066839999999999</v>
      </c>
      <c r="H49" s="912"/>
      <c r="I49" s="624">
        <f>ROUND(I47*I23,5)</f>
        <v>60.179490000000001</v>
      </c>
      <c r="J49" s="573"/>
      <c r="K49" s="603"/>
      <c r="L49" s="603"/>
      <c r="M49" s="603"/>
      <c r="N49" s="603"/>
      <c r="O49" s="603"/>
      <c r="P49" s="603"/>
      <c r="Q49" s="603"/>
    </row>
    <row r="50" spans="1:17" ht="16.8" customHeight="1">
      <c r="A50" s="924"/>
      <c r="B50" s="927"/>
      <c r="C50" s="933"/>
      <c r="D50" s="940"/>
      <c r="E50" s="933"/>
      <c r="F50" s="39" t="s">
        <v>971</v>
      </c>
      <c r="G50" s="213">
        <v>5.9066700000000001</v>
      </c>
      <c r="H50" s="912"/>
      <c r="I50" s="624">
        <f>I47-I48-I49</f>
        <v>6.0179499999999138</v>
      </c>
      <c r="J50" s="573"/>
      <c r="K50" s="603"/>
      <c r="L50" s="603"/>
      <c r="M50" s="603"/>
      <c r="N50" s="603"/>
      <c r="O50" s="603"/>
      <c r="P50" s="603"/>
      <c r="Q50" s="603"/>
    </row>
    <row r="51" spans="1:17" ht="16.8" customHeight="1">
      <c r="A51" s="925"/>
      <c r="B51" s="928"/>
      <c r="C51" s="934"/>
      <c r="D51" s="941"/>
      <c r="E51" s="934"/>
      <c r="F51" s="39" t="s">
        <v>972</v>
      </c>
      <c r="G51" s="213">
        <v>0</v>
      </c>
      <c r="H51" s="912"/>
      <c r="I51" s="624"/>
      <c r="J51" s="573"/>
      <c r="K51" s="603"/>
      <c r="L51" s="603"/>
      <c r="M51" s="603"/>
      <c r="N51" s="603"/>
      <c r="O51" s="603"/>
      <c r="P51" s="603"/>
      <c r="Q51" s="603"/>
    </row>
    <row r="52" spans="1:17" ht="16.8" customHeight="1">
      <c r="A52" s="923" t="s">
        <v>400</v>
      </c>
      <c r="B52" s="926" t="s">
        <v>1003</v>
      </c>
      <c r="C52" s="932" t="s">
        <v>27</v>
      </c>
      <c r="D52" s="952">
        <v>230</v>
      </c>
      <c r="E52" s="932" t="s">
        <v>1033</v>
      </c>
      <c r="F52" s="431" t="s">
        <v>20</v>
      </c>
      <c r="G52" s="3">
        <f>SUM(G53:G55)</f>
        <v>1220.7446100000002</v>
      </c>
      <c r="H52" s="912" t="s">
        <v>84</v>
      </c>
      <c r="I52" s="614"/>
      <c r="J52" s="573">
        <v>1592.4480000000001</v>
      </c>
      <c r="K52" s="603"/>
      <c r="L52" s="603"/>
      <c r="M52" s="603"/>
      <c r="N52" s="603"/>
      <c r="O52" s="603"/>
      <c r="P52" s="603"/>
      <c r="Q52" s="603"/>
    </row>
    <row r="53" spans="1:17" ht="16.8" customHeight="1">
      <c r="A53" s="924"/>
      <c r="B53" s="927"/>
      <c r="C53" s="933"/>
      <c r="D53" s="953"/>
      <c r="E53" s="933"/>
      <c r="F53" s="39" t="s">
        <v>24</v>
      </c>
      <c r="G53" s="9">
        <v>1144.4867300000001</v>
      </c>
      <c r="H53" s="912"/>
      <c r="I53" s="614"/>
      <c r="J53" s="573"/>
      <c r="K53" s="603"/>
      <c r="L53" s="603"/>
      <c r="M53" s="603"/>
      <c r="N53" s="603"/>
      <c r="O53" s="603"/>
      <c r="P53" s="603"/>
      <c r="Q53" s="603"/>
    </row>
    <row r="54" spans="1:17" ht="16.8" customHeight="1">
      <c r="A54" s="924"/>
      <c r="B54" s="927"/>
      <c r="C54" s="933"/>
      <c r="D54" s="953"/>
      <c r="E54" s="933"/>
      <c r="F54" s="39" t="s">
        <v>10</v>
      </c>
      <c r="G54" s="9">
        <v>69.32535</v>
      </c>
      <c r="H54" s="912"/>
      <c r="I54" s="614"/>
      <c r="J54" s="573"/>
      <c r="K54" s="603"/>
      <c r="L54" s="603"/>
      <c r="M54" s="603"/>
      <c r="N54" s="603"/>
      <c r="O54" s="603"/>
      <c r="P54" s="603"/>
      <c r="Q54" s="603"/>
    </row>
    <row r="55" spans="1:17" ht="16.8" customHeight="1">
      <c r="A55" s="924"/>
      <c r="B55" s="927"/>
      <c r="C55" s="933"/>
      <c r="D55" s="953"/>
      <c r="E55" s="933"/>
      <c r="F55" s="39" t="s">
        <v>971</v>
      </c>
      <c r="G55" s="9">
        <v>6.9325299999999999</v>
      </c>
      <c r="H55" s="912"/>
      <c r="I55" s="614"/>
      <c r="J55" s="573"/>
      <c r="K55" s="603"/>
      <c r="L55" s="603"/>
      <c r="M55" s="603"/>
      <c r="N55" s="603"/>
      <c r="O55" s="603"/>
      <c r="P55" s="603"/>
      <c r="Q55" s="603"/>
    </row>
    <row r="56" spans="1:17" ht="16.8" customHeight="1">
      <c r="A56" s="925"/>
      <c r="B56" s="928"/>
      <c r="C56" s="934"/>
      <c r="D56" s="954"/>
      <c r="E56" s="934"/>
      <c r="F56" s="39" t="s">
        <v>972</v>
      </c>
      <c r="G56" s="9">
        <v>0</v>
      </c>
      <c r="H56" s="912"/>
      <c r="I56" s="614"/>
      <c r="J56" s="573"/>
      <c r="K56" s="603"/>
      <c r="L56" s="603"/>
      <c r="M56" s="603"/>
      <c r="N56" s="603"/>
      <c r="O56" s="603"/>
      <c r="P56" s="603"/>
      <c r="Q56" s="603"/>
    </row>
    <row r="57" spans="1:17" ht="16.8" customHeight="1">
      <c r="A57" s="951" t="s">
        <v>662</v>
      </c>
      <c r="B57" s="912" t="s">
        <v>1004</v>
      </c>
      <c r="C57" s="818" t="s">
        <v>27</v>
      </c>
      <c r="D57" s="955">
        <v>696.08</v>
      </c>
      <c r="E57" s="932" t="s">
        <v>1033</v>
      </c>
      <c r="F57" s="431" t="s">
        <v>20</v>
      </c>
      <c r="G57" s="3">
        <f>SUM(G58:G60)</f>
        <v>3936.2872499999999</v>
      </c>
      <c r="H57" s="912" t="s">
        <v>1147</v>
      </c>
      <c r="I57" s="614"/>
      <c r="J57" s="573">
        <v>4290.6876000000002</v>
      </c>
      <c r="K57" s="603"/>
      <c r="L57" s="603"/>
      <c r="M57" s="603"/>
      <c r="N57" s="603"/>
      <c r="O57" s="603"/>
      <c r="P57" s="603"/>
      <c r="Q57" s="603"/>
    </row>
    <row r="58" spans="1:17" ht="16.8" customHeight="1">
      <c r="A58" s="951"/>
      <c r="B58" s="912"/>
      <c r="C58" s="818"/>
      <c r="D58" s="955"/>
      <c r="E58" s="933"/>
      <c r="F58" s="39" t="s">
        <v>24</v>
      </c>
      <c r="G58" s="9">
        <v>3690.3939</v>
      </c>
      <c r="H58" s="912"/>
      <c r="I58" s="614"/>
      <c r="J58" s="612"/>
      <c r="K58" s="603"/>
      <c r="L58" s="603"/>
      <c r="M58" s="603"/>
      <c r="N58" s="603"/>
      <c r="O58" s="603"/>
      <c r="P58" s="603"/>
      <c r="Q58" s="603"/>
    </row>
    <row r="59" spans="1:17" ht="16.8" customHeight="1">
      <c r="A59" s="951"/>
      <c r="B59" s="912"/>
      <c r="C59" s="818"/>
      <c r="D59" s="955"/>
      <c r="E59" s="933"/>
      <c r="F59" s="39" t="s">
        <v>10</v>
      </c>
      <c r="G59" s="9">
        <v>223.53939</v>
      </c>
      <c r="H59" s="912"/>
      <c r="I59" s="614"/>
      <c r="J59" s="612"/>
      <c r="K59" s="603"/>
      <c r="L59" s="603"/>
      <c r="M59" s="603"/>
      <c r="N59" s="603"/>
      <c r="O59" s="603"/>
      <c r="P59" s="603"/>
      <c r="Q59" s="603"/>
    </row>
    <row r="60" spans="1:17" ht="16.8" customHeight="1">
      <c r="A60" s="951"/>
      <c r="B60" s="912"/>
      <c r="C60" s="818"/>
      <c r="D60" s="955"/>
      <c r="E60" s="933"/>
      <c r="F60" s="39" t="s">
        <v>971</v>
      </c>
      <c r="G60" s="9">
        <v>22.353960000000001</v>
      </c>
      <c r="H60" s="912"/>
      <c r="I60" s="614"/>
      <c r="J60" s="612"/>
      <c r="K60" s="603"/>
      <c r="L60" s="603"/>
      <c r="M60" s="603"/>
      <c r="N60" s="603"/>
      <c r="O60" s="603"/>
      <c r="P60" s="603"/>
      <c r="Q60" s="603"/>
    </row>
    <row r="61" spans="1:17" ht="16.8" customHeight="1">
      <c r="A61" s="951"/>
      <c r="B61" s="912"/>
      <c r="C61" s="818"/>
      <c r="D61" s="955"/>
      <c r="E61" s="934"/>
      <c r="F61" s="39" t="s">
        <v>972</v>
      </c>
      <c r="G61" s="9">
        <v>0</v>
      </c>
      <c r="H61" s="912"/>
      <c r="I61" s="614"/>
      <c r="J61" s="612"/>
      <c r="K61" s="603"/>
      <c r="L61" s="603"/>
      <c r="M61" s="603"/>
      <c r="N61" s="603"/>
      <c r="O61" s="603"/>
      <c r="P61" s="603"/>
      <c r="Q61" s="603"/>
    </row>
    <row r="62" spans="1:17" ht="16.2" customHeight="1">
      <c r="A62" s="937" t="s">
        <v>48</v>
      </c>
      <c r="B62" s="835" t="s">
        <v>582</v>
      </c>
      <c r="C62" s="835" t="s">
        <v>9</v>
      </c>
      <c r="D62" s="835" t="s">
        <v>9</v>
      </c>
      <c r="E62" s="835" t="s">
        <v>1033</v>
      </c>
      <c r="F62" s="431" t="s">
        <v>20</v>
      </c>
      <c r="G62" s="2">
        <f>G63+G64+G65+G66</f>
        <v>114653.47447</v>
      </c>
      <c r="H62" s="832" t="s">
        <v>9</v>
      </c>
      <c r="I62" s="608"/>
      <c r="J62" s="624"/>
      <c r="K62" s="606"/>
      <c r="L62" s="603"/>
      <c r="M62" s="603"/>
      <c r="N62" s="603"/>
      <c r="O62" s="603"/>
      <c r="P62" s="603"/>
      <c r="Q62" s="603"/>
    </row>
    <row r="63" spans="1:17" ht="16.2" customHeight="1">
      <c r="A63" s="938"/>
      <c r="B63" s="929"/>
      <c r="C63" s="929"/>
      <c r="D63" s="929"/>
      <c r="E63" s="929"/>
      <c r="F63" s="431" t="s">
        <v>24</v>
      </c>
      <c r="G63" s="2">
        <f t="shared" ref="G63:G64" si="4">G68+G73+G78+G83+G88+G93+G98</f>
        <v>100000</v>
      </c>
      <c r="H63" s="935"/>
      <c r="I63" s="602"/>
      <c r="J63" s="624"/>
      <c r="K63" s="606"/>
      <c r="L63" s="603"/>
      <c r="M63" s="603"/>
      <c r="N63" s="603"/>
      <c r="O63" s="603"/>
      <c r="P63" s="603"/>
      <c r="Q63" s="603"/>
    </row>
    <row r="64" spans="1:17" ht="16.2" customHeight="1">
      <c r="A64" s="938"/>
      <c r="B64" s="929"/>
      <c r="C64" s="929"/>
      <c r="D64" s="929"/>
      <c r="E64" s="929"/>
      <c r="F64" s="431" t="s">
        <v>10</v>
      </c>
      <c r="G64" s="2">
        <f t="shared" si="4"/>
        <v>0</v>
      </c>
      <c r="H64" s="935"/>
      <c r="I64" s="602"/>
      <c r="J64" s="606"/>
      <c r="K64" s="606"/>
      <c r="L64" s="603"/>
      <c r="M64" s="603"/>
      <c r="N64" s="603"/>
      <c r="O64" s="603"/>
      <c r="P64" s="603"/>
      <c r="Q64" s="603"/>
    </row>
    <row r="65" spans="1:17" ht="16.2" customHeight="1">
      <c r="A65" s="938"/>
      <c r="B65" s="929"/>
      <c r="C65" s="929"/>
      <c r="D65" s="929"/>
      <c r="E65" s="929"/>
      <c r="F65" s="431" t="s">
        <v>11</v>
      </c>
      <c r="G65" s="2">
        <f>G70+G75+G80+G85+G90+G95+G100+G105+G110</f>
        <v>14653.474469999999</v>
      </c>
      <c r="H65" s="935"/>
      <c r="I65" s="609"/>
      <c r="J65" s="624"/>
      <c r="K65" s="624"/>
      <c r="L65" s="603"/>
      <c r="M65" s="603"/>
      <c r="N65" s="603"/>
      <c r="O65" s="603"/>
      <c r="P65" s="603"/>
      <c r="Q65" s="603"/>
    </row>
    <row r="66" spans="1:17" ht="16.2" customHeight="1">
      <c r="A66" s="828"/>
      <c r="B66" s="823"/>
      <c r="C66" s="823"/>
      <c r="D66" s="823"/>
      <c r="E66" s="823"/>
      <c r="F66" s="431" t="s">
        <v>972</v>
      </c>
      <c r="G66" s="2">
        <f>G71+G76+G81+G86+G91+G96+G101</f>
        <v>0</v>
      </c>
      <c r="H66" s="936"/>
      <c r="I66" s="614"/>
      <c r="J66" s="613"/>
      <c r="K66" s="603"/>
      <c r="L66" s="603"/>
      <c r="M66" s="603"/>
      <c r="N66" s="603"/>
      <c r="O66" s="603"/>
      <c r="P66" s="603"/>
      <c r="Q66" s="603"/>
    </row>
    <row r="67" spans="1:17" ht="16.2" customHeight="1">
      <c r="A67" s="923" t="s">
        <v>104</v>
      </c>
      <c r="B67" s="926" t="s">
        <v>1023</v>
      </c>
      <c r="C67" s="932" t="s">
        <v>190</v>
      </c>
      <c r="D67" s="881">
        <v>1</v>
      </c>
      <c r="E67" s="835" t="s">
        <v>1033</v>
      </c>
      <c r="F67" s="431" t="s">
        <v>20</v>
      </c>
      <c r="G67" s="3">
        <f>SUM(G68:G70)</f>
        <v>2800</v>
      </c>
      <c r="H67" s="926" t="s">
        <v>85</v>
      </c>
      <c r="I67" s="610"/>
      <c r="J67" s="603"/>
      <c r="K67" s="603"/>
      <c r="L67" s="603"/>
      <c r="M67" s="603"/>
      <c r="N67" s="603"/>
      <c r="O67" s="603"/>
      <c r="P67" s="603"/>
      <c r="Q67" s="603"/>
    </row>
    <row r="68" spans="1:17" ht="16.2" customHeight="1">
      <c r="A68" s="924"/>
      <c r="B68" s="927"/>
      <c r="C68" s="933"/>
      <c r="D68" s="882"/>
      <c r="E68" s="929"/>
      <c r="F68" s="431" t="s">
        <v>24</v>
      </c>
      <c r="G68" s="9">
        <v>0</v>
      </c>
      <c r="H68" s="927"/>
      <c r="I68" s="610"/>
      <c r="J68" s="606"/>
      <c r="K68" s="606"/>
      <c r="L68" s="603"/>
      <c r="M68" s="603"/>
      <c r="N68" s="603"/>
      <c r="O68" s="603"/>
      <c r="P68" s="603"/>
      <c r="Q68" s="603"/>
    </row>
    <row r="69" spans="1:17" ht="16.2" customHeight="1">
      <c r="A69" s="924"/>
      <c r="B69" s="927"/>
      <c r="C69" s="933"/>
      <c r="D69" s="882"/>
      <c r="E69" s="929"/>
      <c r="F69" s="431" t="s">
        <v>10</v>
      </c>
      <c r="G69" s="9">
        <v>0</v>
      </c>
      <c r="H69" s="927"/>
      <c r="I69" s="610"/>
      <c r="J69" s="606"/>
      <c r="K69" s="606"/>
      <c r="L69" s="603"/>
      <c r="M69" s="603"/>
      <c r="N69" s="603"/>
      <c r="O69" s="603"/>
      <c r="P69" s="603"/>
      <c r="Q69" s="603"/>
    </row>
    <row r="70" spans="1:17" ht="16.2" customHeight="1">
      <c r="A70" s="924"/>
      <c r="B70" s="927"/>
      <c r="C70" s="933"/>
      <c r="D70" s="882"/>
      <c r="E70" s="929"/>
      <c r="F70" s="431" t="s">
        <v>11</v>
      </c>
      <c r="G70" s="9">
        <v>2800</v>
      </c>
      <c r="H70" s="927"/>
      <c r="I70" s="610"/>
      <c r="J70" s="603"/>
      <c r="K70" s="603"/>
      <c r="L70" s="603"/>
      <c r="M70" s="603"/>
      <c r="N70" s="603"/>
      <c r="O70" s="603"/>
      <c r="P70" s="603"/>
      <c r="Q70" s="603"/>
    </row>
    <row r="71" spans="1:17" ht="16.2" customHeight="1">
      <c r="A71" s="925"/>
      <c r="B71" s="928"/>
      <c r="C71" s="934"/>
      <c r="D71" s="883"/>
      <c r="E71" s="823"/>
      <c r="F71" s="431" t="s">
        <v>972</v>
      </c>
      <c r="G71" s="9">
        <v>0</v>
      </c>
      <c r="H71" s="928"/>
      <c r="I71" s="614"/>
      <c r="J71" s="612"/>
      <c r="K71" s="603"/>
      <c r="L71" s="603"/>
      <c r="M71" s="603"/>
      <c r="N71" s="603"/>
      <c r="O71" s="603"/>
      <c r="P71" s="603"/>
      <c r="Q71" s="603"/>
    </row>
    <row r="72" spans="1:17" ht="16.2" customHeight="1">
      <c r="A72" s="923" t="s">
        <v>216</v>
      </c>
      <c r="B72" s="926" t="s">
        <v>1099</v>
      </c>
      <c r="C72" s="818" t="s">
        <v>27</v>
      </c>
      <c r="D72" s="897">
        <v>26497</v>
      </c>
      <c r="E72" s="835" t="s">
        <v>1033</v>
      </c>
      <c r="F72" s="431" t="s">
        <v>20</v>
      </c>
      <c r="G72" s="3">
        <f>SUM(G73:G75)</f>
        <v>109621.75999999999</v>
      </c>
      <c r="H72" s="926" t="s">
        <v>84</v>
      </c>
      <c r="I72" s="610"/>
      <c r="J72" s="603"/>
      <c r="K72" s="603"/>
      <c r="L72" s="603"/>
      <c r="M72" s="603"/>
      <c r="N72" s="603"/>
      <c r="O72" s="603"/>
      <c r="P72" s="603"/>
      <c r="Q72" s="603"/>
    </row>
    <row r="73" spans="1:17" ht="16.2" customHeight="1">
      <c r="A73" s="924"/>
      <c r="B73" s="927"/>
      <c r="C73" s="818"/>
      <c r="D73" s="898"/>
      <c r="E73" s="929"/>
      <c r="F73" s="431" t="s">
        <v>24</v>
      </c>
      <c r="G73" s="9">
        <v>100000</v>
      </c>
      <c r="H73" s="927"/>
      <c r="I73" s="610"/>
      <c r="K73" s="602"/>
    </row>
    <row r="74" spans="1:17" ht="16.2" customHeight="1">
      <c r="A74" s="924"/>
      <c r="B74" s="927"/>
      <c r="C74" s="818"/>
      <c r="D74" s="898"/>
      <c r="E74" s="929"/>
      <c r="F74" s="431" t="s">
        <v>10</v>
      </c>
      <c r="G74" s="9">
        <v>0</v>
      </c>
      <c r="H74" s="927"/>
      <c r="I74" s="610"/>
      <c r="K74" s="602"/>
    </row>
    <row r="75" spans="1:17" ht="16.2" customHeight="1">
      <c r="A75" s="924"/>
      <c r="B75" s="927"/>
      <c r="C75" s="818"/>
      <c r="D75" s="898"/>
      <c r="E75" s="929"/>
      <c r="F75" s="431" t="s">
        <v>11</v>
      </c>
      <c r="G75" s="748">
        <v>9621.76</v>
      </c>
      <c r="H75" s="927"/>
      <c r="I75" s="610"/>
      <c r="J75" s="355"/>
      <c r="K75" s="602"/>
    </row>
    <row r="76" spans="1:17" ht="16.2" customHeight="1">
      <c r="A76" s="925"/>
      <c r="B76" s="928"/>
      <c r="C76" s="818"/>
      <c r="D76" s="899"/>
      <c r="E76" s="823"/>
      <c r="F76" s="431" t="s">
        <v>972</v>
      </c>
      <c r="G76" s="9">
        <v>0</v>
      </c>
      <c r="H76" s="928"/>
      <c r="I76" s="614"/>
      <c r="J76" s="625"/>
    </row>
    <row r="77" spans="1:17" ht="19.2" customHeight="1">
      <c r="A77" s="923" t="s">
        <v>1100</v>
      </c>
      <c r="B77" s="926" t="s">
        <v>1103</v>
      </c>
      <c r="C77" s="932" t="s">
        <v>190</v>
      </c>
      <c r="D77" s="881">
        <v>1</v>
      </c>
      <c r="E77" s="835" t="s">
        <v>1033</v>
      </c>
      <c r="F77" s="431" t="s">
        <v>20</v>
      </c>
      <c r="G77" s="3">
        <f>SUM(G78:G80)</f>
        <v>310</v>
      </c>
      <c r="H77" s="926" t="s">
        <v>1104</v>
      </c>
      <c r="I77" s="610"/>
      <c r="J77" s="603"/>
      <c r="K77" s="603"/>
      <c r="L77" s="603"/>
      <c r="M77" s="603"/>
      <c r="N77" s="603"/>
      <c r="O77" s="603"/>
      <c r="P77" s="603"/>
      <c r="Q77" s="603"/>
    </row>
    <row r="78" spans="1:17" ht="19.2" customHeight="1">
      <c r="A78" s="924"/>
      <c r="B78" s="927"/>
      <c r="C78" s="933"/>
      <c r="D78" s="882"/>
      <c r="E78" s="929"/>
      <c r="F78" s="431" t="s">
        <v>24</v>
      </c>
      <c r="G78" s="9">
        <v>0</v>
      </c>
      <c r="H78" s="927"/>
      <c r="I78" s="610"/>
      <c r="J78" s="606"/>
      <c r="K78" s="606"/>
      <c r="L78" s="603"/>
      <c r="M78" s="603"/>
      <c r="N78" s="603"/>
      <c r="O78" s="603"/>
      <c r="P78" s="603"/>
      <c r="Q78" s="603"/>
    </row>
    <row r="79" spans="1:17" ht="19.2" customHeight="1">
      <c r="A79" s="924"/>
      <c r="B79" s="927"/>
      <c r="C79" s="933"/>
      <c r="D79" s="882"/>
      <c r="E79" s="929"/>
      <c r="F79" s="431" t="s">
        <v>10</v>
      </c>
      <c r="G79" s="9">
        <v>0</v>
      </c>
      <c r="H79" s="927"/>
      <c r="I79" s="610"/>
      <c r="J79" s="606"/>
      <c r="K79" s="606"/>
      <c r="L79" s="603"/>
      <c r="M79" s="603"/>
      <c r="N79" s="603"/>
      <c r="O79" s="603"/>
      <c r="P79" s="603"/>
      <c r="Q79" s="603"/>
    </row>
    <row r="80" spans="1:17" ht="19.2" customHeight="1">
      <c r="A80" s="924"/>
      <c r="B80" s="927"/>
      <c r="C80" s="933"/>
      <c r="D80" s="882"/>
      <c r="E80" s="929"/>
      <c r="F80" s="431" t="s">
        <v>11</v>
      </c>
      <c r="G80" s="9">
        <v>310</v>
      </c>
      <c r="H80" s="927"/>
      <c r="I80" s="610"/>
      <c r="J80" s="603"/>
      <c r="K80" s="603"/>
      <c r="L80" s="603"/>
      <c r="M80" s="603"/>
      <c r="N80" s="603"/>
      <c r="O80" s="603"/>
      <c r="P80" s="603"/>
      <c r="Q80" s="603"/>
    </row>
    <row r="81" spans="1:17" ht="21.6" customHeight="1">
      <c r="A81" s="925"/>
      <c r="B81" s="928"/>
      <c r="C81" s="934"/>
      <c r="D81" s="883"/>
      <c r="E81" s="823"/>
      <c r="F81" s="431" t="s">
        <v>972</v>
      </c>
      <c r="G81" s="9">
        <v>0</v>
      </c>
      <c r="H81" s="928"/>
      <c r="I81" s="614"/>
      <c r="J81" s="612"/>
      <c r="K81" s="603"/>
      <c r="L81" s="603"/>
      <c r="M81" s="603"/>
      <c r="N81" s="603"/>
      <c r="O81" s="603"/>
      <c r="P81" s="603"/>
      <c r="Q81" s="603"/>
    </row>
    <row r="82" spans="1:17" ht="15.6" customHeight="1">
      <c r="A82" s="923" t="s">
        <v>1102</v>
      </c>
      <c r="B82" s="926" t="s">
        <v>1101</v>
      </c>
      <c r="C82" s="818" t="s">
        <v>932</v>
      </c>
      <c r="D82" s="897">
        <v>1</v>
      </c>
      <c r="E82" s="835" t="s">
        <v>1033</v>
      </c>
      <c r="F82" s="431" t="s">
        <v>20</v>
      </c>
      <c r="G82" s="3">
        <f>SUM(G83:G85)</f>
        <v>945.66615000000002</v>
      </c>
      <c r="H82" s="926" t="s">
        <v>84</v>
      </c>
      <c r="I82" s="610"/>
      <c r="J82" s="603"/>
      <c r="K82" s="603"/>
      <c r="L82" s="603"/>
      <c r="M82" s="603"/>
      <c r="N82" s="603"/>
      <c r="O82" s="603"/>
      <c r="P82" s="603"/>
      <c r="Q82" s="603"/>
    </row>
    <row r="83" spans="1:17" ht="15.6" customHeight="1">
      <c r="A83" s="924"/>
      <c r="B83" s="927"/>
      <c r="C83" s="818"/>
      <c r="D83" s="898"/>
      <c r="E83" s="929"/>
      <c r="F83" s="431" t="s">
        <v>24</v>
      </c>
      <c r="G83" s="9">
        <v>0</v>
      </c>
      <c r="H83" s="927"/>
      <c r="I83" s="610"/>
      <c r="K83" s="602"/>
    </row>
    <row r="84" spans="1:17" ht="15.6" customHeight="1">
      <c r="A84" s="924"/>
      <c r="B84" s="927"/>
      <c r="C84" s="818"/>
      <c r="D84" s="898"/>
      <c r="E84" s="929"/>
      <c r="F84" s="431" t="s">
        <v>10</v>
      </c>
      <c r="G84" s="9">
        <v>0</v>
      </c>
      <c r="H84" s="927"/>
      <c r="I84" s="610"/>
      <c r="K84" s="602"/>
    </row>
    <row r="85" spans="1:17" ht="15.6" customHeight="1">
      <c r="A85" s="924"/>
      <c r="B85" s="927"/>
      <c r="C85" s="818"/>
      <c r="D85" s="898"/>
      <c r="E85" s="929"/>
      <c r="F85" s="431" t="s">
        <v>11</v>
      </c>
      <c r="G85" s="650">
        <v>945.66615000000002</v>
      </c>
      <c r="H85" s="927"/>
      <c r="I85" s="610"/>
    </row>
    <row r="86" spans="1:17" ht="15.6" customHeight="1">
      <c r="A86" s="925"/>
      <c r="B86" s="928"/>
      <c r="C86" s="818"/>
      <c r="D86" s="899"/>
      <c r="E86" s="823"/>
      <c r="F86" s="431" t="s">
        <v>972</v>
      </c>
      <c r="G86" s="9">
        <v>0</v>
      </c>
      <c r="H86" s="928"/>
      <c r="I86" s="614"/>
      <c r="J86" s="625"/>
    </row>
    <row r="87" spans="1:17" ht="15.6" customHeight="1">
      <c r="A87" s="923" t="s">
        <v>1173</v>
      </c>
      <c r="B87" s="926" t="s">
        <v>1176</v>
      </c>
      <c r="C87" s="818" t="s">
        <v>932</v>
      </c>
      <c r="D87" s="897">
        <v>1</v>
      </c>
      <c r="E87" s="835" t="s">
        <v>1033</v>
      </c>
      <c r="F87" s="431" t="s">
        <v>20</v>
      </c>
      <c r="G87" s="3">
        <f t="shared" ref="G87" si="5">SUM(G88:G90)</f>
        <v>219.24351999999999</v>
      </c>
      <c r="H87" s="926" t="s">
        <v>84</v>
      </c>
      <c r="I87" s="610"/>
      <c r="J87" s="603"/>
      <c r="K87" s="603"/>
      <c r="L87" s="603"/>
      <c r="M87" s="603"/>
      <c r="N87" s="603"/>
      <c r="O87" s="603"/>
      <c r="P87" s="603"/>
      <c r="Q87" s="603"/>
    </row>
    <row r="88" spans="1:17" ht="15.6" customHeight="1">
      <c r="A88" s="924"/>
      <c r="B88" s="927"/>
      <c r="C88" s="818"/>
      <c r="D88" s="898"/>
      <c r="E88" s="929"/>
      <c r="F88" s="431" t="s">
        <v>24</v>
      </c>
      <c r="G88" s="9">
        <v>0</v>
      </c>
      <c r="H88" s="927"/>
      <c r="I88" s="610"/>
      <c r="K88" s="602"/>
    </row>
    <row r="89" spans="1:17" ht="15.6" customHeight="1">
      <c r="A89" s="924"/>
      <c r="B89" s="927"/>
      <c r="C89" s="818"/>
      <c r="D89" s="898"/>
      <c r="E89" s="929"/>
      <c r="F89" s="431" t="s">
        <v>10</v>
      </c>
      <c r="G89" s="9">
        <v>0</v>
      </c>
      <c r="H89" s="927"/>
      <c r="I89" s="610"/>
      <c r="K89" s="602"/>
    </row>
    <row r="90" spans="1:17" ht="15.6" customHeight="1">
      <c r="A90" s="924"/>
      <c r="B90" s="927"/>
      <c r="C90" s="818"/>
      <c r="D90" s="898"/>
      <c r="E90" s="929"/>
      <c r="F90" s="431" t="s">
        <v>11</v>
      </c>
      <c r="G90" s="650">
        <v>219.24351999999999</v>
      </c>
      <c r="H90" s="927"/>
      <c r="I90" s="610"/>
      <c r="J90" s="355"/>
    </row>
    <row r="91" spans="1:17" ht="15.6" customHeight="1">
      <c r="A91" s="925"/>
      <c r="B91" s="928"/>
      <c r="C91" s="818"/>
      <c r="D91" s="899"/>
      <c r="E91" s="823"/>
      <c r="F91" s="431" t="s">
        <v>972</v>
      </c>
      <c r="G91" s="9">
        <v>0</v>
      </c>
      <c r="H91" s="928"/>
      <c r="I91" s="614"/>
      <c r="J91" s="625"/>
    </row>
    <row r="92" spans="1:17">
      <c r="A92" s="923" t="s">
        <v>1174</v>
      </c>
      <c r="B92" s="926" t="s">
        <v>1177</v>
      </c>
      <c r="C92" s="818" t="s">
        <v>190</v>
      </c>
      <c r="D92" s="897">
        <v>6</v>
      </c>
      <c r="E92" s="835" t="s">
        <v>1033</v>
      </c>
      <c r="F92" s="431" t="s">
        <v>20</v>
      </c>
      <c r="G92" s="3">
        <f t="shared" ref="G92" si="6">SUM(G93:G95)</f>
        <v>594</v>
      </c>
      <c r="H92" s="926" t="s">
        <v>84</v>
      </c>
      <c r="I92" s="610"/>
      <c r="J92" s="603"/>
      <c r="K92" s="603"/>
      <c r="L92" s="603"/>
      <c r="M92" s="603"/>
      <c r="N92" s="603"/>
      <c r="O92" s="603"/>
      <c r="P92" s="603"/>
      <c r="Q92" s="603"/>
    </row>
    <row r="93" spans="1:17">
      <c r="A93" s="924"/>
      <c r="B93" s="927"/>
      <c r="C93" s="818"/>
      <c r="D93" s="898"/>
      <c r="E93" s="929"/>
      <c r="F93" s="431" t="s">
        <v>24</v>
      </c>
      <c r="G93" s="9">
        <v>0</v>
      </c>
      <c r="H93" s="927"/>
      <c r="I93" s="610"/>
      <c r="K93" s="602"/>
    </row>
    <row r="94" spans="1:17">
      <c r="A94" s="924"/>
      <c r="B94" s="927"/>
      <c r="C94" s="818"/>
      <c r="D94" s="898"/>
      <c r="E94" s="929"/>
      <c r="F94" s="431" t="s">
        <v>10</v>
      </c>
      <c r="G94" s="9">
        <v>0</v>
      </c>
      <c r="H94" s="927"/>
      <c r="I94" s="610"/>
      <c r="K94" s="602"/>
    </row>
    <row r="95" spans="1:17">
      <c r="A95" s="924"/>
      <c r="B95" s="927"/>
      <c r="C95" s="818"/>
      <c r="D95" s="898"/>
      <c r="E95" s="929"/>
      <c r="F95" s="431" t="s">
        <v>11</v>
      </c>
      <c r="G95" s="650">
        <v>594</v>
      </c>
      <c r="H95" s="927"/>
      <c r="I95" s="610"/>
      <c r="J95" s="355"/>
    </row>
    <row r="96" spans="1:17">
      <c r="A96" s="925"/>
      <c r="B96" s="928"/>
      <c r="C96" s="818"/>
      <c r="D96" s="899"/>
      <c r="E96" s="823"/>
      <c r="F96" s="431" t="s">
        <v>972</v>
      </c>
      <c r="G96" s="9">
        <v>0</v>
      </c>
      <c r="H96" s="928"/>
      <c r="I96" s="614"/>
      <c r="J96" s="625"/>
    </row>
    <row r="97" spans="1:17">
      <c r="A97" s="923" t="s">
        <v>1175</v>
      </c>
      <c r="B97" s="926" t="s">
        <v>1178</v>
      </c>
      <c r="C97" s="818" t="s">
        <v>190</v>
      </c>
      <c r="D97" s="897">
        <v>1</v>
      </c>
      <c r="E97" s="835" t="s">
        <v>1033</v>
      </c>
      <c r="F97" s="431" t="s">
        <v>20</v>
      </c>
      <c r="G97" s="3">
        <f t="shared" ref="G97" si="7">SUM(G98:G100)</f>
        <v>80</v>
      </c>
      <c r="H97" s="926" t="s">
        <v>84</v>
      </c>
      <c r="I97" s="610"/>
      <c r="J97" s="603"/>
      <c r="K97" s="603"/>
      <c r="L97" s="603"/>
      <c r="M97" s="603"/>
      <c r="N97" s="603"/>
      <c r="O97" s="603"/>
      <c r="P97" s="603"/>
      <c r="Q97" s="603"/>
    </row>
    <row r="98" spans="1:17">
      <c r="A98" s="924"/>
      <c r="B98" s="927"/>
      <c r="C98" s="818"/>
      <c r="D98" s="898"/>
      <c r="E98" s="929"/>
      <c r="F98" s="431" t="s">
        <v>24</v>
      </c>
      <c r="G98" s="9">
        <v>0</v>
      </c>
      <c r="H98" s="927"/>
      <c r="I98" s="610"/>
      <c r="K98" s="602"/>
    </row>
    <row r="99" spans="1:17">
      <c r="A99" s="924"/>
      <c r="B99" s="927"/>
      <c r="C99" s="818"/>
      <c r="D99" s="898"/>
      <c r="E99" s="929"/>
      <c r="F99" s="431" t="s">
        <v>10</v>
      </c>
      <c r="G99" s="9">
        <v>0</v>
      </c>
      <c r="H99" s="927"/>
      <c r="I99" s="610"/>
      <c r="K99" s="602"/>
    </row>
    <row r="100" spans="1:17">
      <c r="A100" s="924"/>
      <c r="B100" s="927"/>
      <c r="C100" s="818"/>
      <c r="D100" s="898"/>
      <c r="E100" s="929"/>
      <c r="F100" s="431" t="s">
        <v>11</v>
      </c>
      <c r="G100" s="650">
        <v>80</v>
      </c>
      <c r="H100" s="927"/>
      <c r="I100" s="610"/>
      <c r="J100" s="355"/>
    </row>
    <row r="101" spans="1:17">
      <c r="A101" s="925"/>
      <c r="B101" s="928"/>
      <c r="C101" s="818"/>
      <c r="D101" s="899"/>
      <c r="E101" s="823"/>
      <c r="F101" s="431" t="s">
        <v>972</v>
      </c>
      <c r="G101" s="9">
        <v>0</v>
      </c>
      <c r="H101" s="928"/>
      <c r="I101" s="614"/>
      <c r="J101" s="625"/>
    </row>
    <row r="102" spans="1:17">
      <c r="A102" s="923" t="s">
        <v>1190</v>
      </c>
      <c r="B102" s="926" t="s">
        <v>1192</v>
      </c>
      <c r="C102" s="818" t="s">
        <v>190</v>
      </c>
      <c r="D102" s="897">
        <v>1</v>
      </c>
      <c r="E102" s="835" t="s">
        <v>1033</v>
      </c>
      <c r="F102" s="431" t="s">
        <v>20</v>
      </c>
      <c r="G102" s="3">
        <f t="shared" ref="G102" si="8">SUM(G103:G105)</f>
        <v>10.8</v>
      </c>
      <c r="H102" s="926" t="s">
        <v>84</v>
      </c>
      <c r="I102" s="610"/>
      <c r="J102" s="603"/>
      <c r="K102" s="603"/>
      <c r="L102" s="603"/>
      <c r="M102" s="603"/>
      <c r="N102" s="603"/>
      <c r="O102" s="603"/>
      <c r="P102" s="603"/>
      <c r="Q102" s="603"/>
    </row>
    <row r="103" spans="1:17">
      <c r="A103" s="924"/>
      <c r="B103" s="927"/>
      <c r="C103" s="818"/>
      <c r="D103" s="898"/>
      <c r="E103" s="929"/>
      <c r="F103" s="431" t="s">
        <v>24</v>
      </c>
      <c r="G103" s="9">
        <v>0</v>
      </c>
      <c r="H103" s="927"/>
      <c r="I103" s="610"/>
      <c r="K103" s="602"/>
    </row>
    <row r="104" spans="1:17">
      <c r="A104" s="924"/>
      <c r="B104" s="927"/>
      <c r="C104" s="818"/>
      <c r="D104" s="898"/>
      <c r="E104" s="929"/>
      <c r="F104" s="431" t="s">
        <v>10</v>
      </c>
      <c r="G104" s="9">
        <v>0</v>
      </c>
      <c r="H104" s="927"/>
      <c r="I104" s="610"/>
      <c r="K104" s="602"/>
    </row>
    <row r="105" spans="1:17">
      <c r="A105" s="924"/>
      <c r="B105" s="927"/>
      <c r="C105" s="818"/>
      <c r="D105" s="898"/>
      <c r="E105" s="929"/>
      <c r="F105" s="431" t="s">
        <v>11</v>
      </c>
      <c r="G105" s="650">
        <v>10.8</v>
      </c>
      <c r="H105" s="927"/>
      <c r="I105" s="610"/>
      <c r="J105" s="355"/>
    </row>
    <row r="106" spans="1:17">
      <c r="A106" s="925"/>
      <c r="B106" s="928"/>
      <c r="C106" s="818"/>
      <c r="D106" s="899"/>
      <c r="E106" s="823"/>
      <c r="F106" s="431" t="s">
        <v>972</v>
      </c>
      <c r="G106" s="9">
        <v>0</v>
      </c>
      <c r="H106" s="928"/>
      <c r="I106" s="614"/>
      <c r="J106" s="625"/>
    </row>
    <row r="107" spans="1:17">
      <c r="A107" s="923" t="s">
        <v>1191</v>
      </c>
      <c r="B107" s="926" t="s">
        <v>1193</v>
      </c>
      <c r="C107" s="818" t="s">
        <v>932</v>
      </c>
      <c r="D107" s="897">
        <v>1</v>
      </c>
      <c r="E107" s="835" t="s">
        <v>1033</v>
      </c>
      <c r="F107" s="431" t="s">
        <v>20</v>
      </c>
      <c r="G107" s="3">
        <f t="shared" ref="G107" si="9">SUM(G108:G110)</f>
        <v>72.004800000000003</v>
      </c>
      <c r="H107" s="926" t="s">
        <v>84</v>
      </c>
      <c r="I107" s="610"/>
      <c r="J107" s="603"/>
      <c r="K107" s="603"/>
      <c r="L107" s="603"/>
      <c r="M107" s="603"/>
      <c r="N107" s="603"/>
      <c r="O107" s="603"/>
      <c r="P107" s="603"/>
      <c r="Q107" s="603"/>
    </row>
    <row r="108" spans="1:17">
      <c r="A108" s="924"/>
      <c r="B108" s="927"/>
      <c r="C108" s="818"/>
      <c r="D108" s="898"/>
      <c r="E108" s="929"/>
      <c r="F108" s="431" t="s">
        <v>24</v>
      </c>
      <c r="G108" s="9">
        <v>0</v>
      </c>
      <c r="H108" s="927"/>
      <c r="I108" s="610"/>
      <c r="K108" s="602"/>
    </row>
    <row r="109" spans="1:17">
      <c r="A109" s="924"/>
      <c r="B109" s="927"/>
      <c r="C109" s="818"/>
      <c r="D109" s="898"/>
      <c r="E109" s="929"/>
      <c r="F109" s="431" t="s">
        <v>10</v>
      </c>
      <c r="G109" s="9">
        <v>0</v>
      </c>
      <c r="H109" s="927"/>
      <c r="I109" s="610"/>
      <c r="K109" s="602"/>
    </row>
    <row r="110" spans="1:17">
      <c r="A110" s="924"/>
      <c r="B110" s="927"/>
      <c r="C110" s="818"/>
      <c r="D110" s="898"/>
      <c r="E110" s="929"/>
      <c r="F110" s="431" t="s">
        <v>11</v>
      </c>
      <c r="G110" s="650">
        <v>72.004800000000003</v>
      </c>
      <c r="H110" s="927"/>
      <c r="I110" s="610"/>
      <c r="J110" s="355"/>
    </row>
    <row r="111" spans="1:17">
      <c r="A111" s="925"/>
      <c r="B111" s="928"/>
      <c r="C111" s="818"/>
      <c r="D111" s="899"/>
      <c r="E111" s="823"/>
      <c r="F111" s="431" t="s">
        <v>972</v>
      </c>
      <c r="G111" s="9">
        <v>0</v>
      </c>
      <c r="H111" s="928"/>
      <c r="I111" s="614"/>
      <c r="J111" s="625"/>
    </row>
    <row r="112" spans="1:17" ht="19.2" hidden="1" customHeight="1">
      <c r="A112" s="937" t="s">
        <v>88</v>
      </c>
      <c r="B112" s="835" t="s">
        <v>1040</v>
      </c>
      <c r="C112" s="835" t="s">
        <v>9</v>
      </c>
      <c r="D112" s="835" t="s">
        <v>9</v>
      </c>
      <c r="E112" s="835" t="s">
        <v>1033</v>
      </c>
      <c r="F112" s="431" t="s">
        <v>20</v>
      </c>
      <c r="G112" s="2">
        <f>G113+G114+G115</f>
        <v>0</v>
      </c>
      <c r="H112" s="832" t="s">
        <v>9</v>
      </c>
      <c r="I112" s="608"/>
      <c r="K112" s="602"/>
    </row>
    <row r="113" spans="1:11" ht="19.2" hidden="1" customHeight="1">
      <c r="A113" s="938"/>
      <c r="B113" s="929"/>
      <c r="C113" s="929"/>
      <c r="D113" s="929"/>
      <c r="E113" s="929"/>
      <c r="F113" s="431" t="s">
        <v>24</v>
      </c>
      <c r="G113" s="4">
        <f>G118+G151</f>
        <v>0</v>
      </c>
      <c r="H113" s="935"/>
      <c r="I113" s="602"/>
      <c r="K113" s="602"/>
    </row>
    <row r="114" spans="1:11" ht="19.2" hidden="1" customHeight="1">
      <c r="A114" s="938"/>
      <c r="B114" s="929"/>
      <c r="C114" s="929"/>
      <c r="D114" s="929"/>
      <c r="E114" s="929"/>
      <c r="F114" s="431" t="s">
        <v>10</v>
      </c>
      <c r="G114" s="4">
        <f>G119+G152</f>
        <v>0</v>
      </c>
      <c r="H114" s="935"/>
      <c r="I114" s="602"/>
      <c r="K114" s="602"/>
    </row>
    <row r="115" spans="1:11" ht="19.2" hidden="1" customHeight="1">
      <c r="A115" s="938"/>
      <c r="B115" s="929"/>
      <c r="C115" s="929"/>
      <c r="D115" s="929"/>
      <c r="E115" s="929"/>
      <c r="F115" s="431" t="s">
        <v>11</v>
      </c>
      <c r="G115" s="4">
        <f>G120+G125+G130+G135</f>
        <v>0</v>
      </c>
      <c r="H115" s="935"/>
      <c r="I115" s="609"/>
      <c r="J115" s="355"/>
    </row>
    <row r="116" spans="1:11" ht="21.6" hidden="1" customHeight="1">
      <c r="A116" s="828"/>
      <c r="B116" s="823"/>
      <c r="C116" s="823"/>
      <c r="D116" s="823"/>
      <c r="E116" s="823"/>
      <c r="F116" s="431" t="s">
        <v>972</v>
      </c>
      <c r="G116" s="4">
        <v>0</v>
      </c>
      <c r="H116" s="936"/>
      <c r="I116" s="614"/>
      <c r="J116" s="625"/>
    </row>
    <row r="117" spans="1:11" ht="19.2" hidden="1" customHeight="1">
      <c r="A117" s="923" t="s">
        <v>494</v>
      </c>
      <c r="B117" s="926" t="s">
        <v>1044</v>
      </c>
      <c r="C117" s="818" t="s">
        <v>27</v>
      </c>
      <c r="D117" s="948"/>
      <c r="E117" s="835" t="s">
        <v>1033</v>
      </c>
      <c r="F117" s="431" t="s">
        <v>20</v>
      </c>
      <c r="G117" s="3">
        <f>SUM(G118:G120)</f>
        <v>0</v>
      </c>
      <c r="H117" s="912" t="s">
        <v>942</v>
      </c>
      <c r="I117" s="610"/>
      <c r="J117" s="355"/>
    </row>
    <row r="118" spans="1:11" ht="19.2" hidden="1" customHeight="1">
      <c r="A118" s="924"/>
      <c r="B118" s="927"/>
      <c r="C118" s="818"/>
      <c r="D118" s="949"/>
      <c r="E118" s="929"/>
      <c r="F118" s="431" t="s">
        <v>24</v>
      </c>
      <c r="G118" s="3"/>
      <c r="H118" s="912"/>
      <c r="I118" s="610"/>
      <c r="K118" s="602"/>
    </row>
    <row r="119" spans="1:11" ht="19.2" hidden="1" customHeight="1">
      <c r="A119" s="924"/>
      <c r="B119" s="927"/>
      <c r="C119" s="818"/>
      <c r="D119" s="949"/>
      <c r="E119" s="929"/>
      <c r="F119" s="431" t="s">
        <v>10</v>
      </c>
      <c r="G119" s="3">
        <v>0</v>
      </c>
      <c r="H119" s="912"/>
      <c r="I119" s="610"/>
      <c r="K119" s="602"/>
    </row>
    <row r="120" spans="1:11" ht="19.2" hidden="1" customHeight="1">
      <c r="A120" s="924"/>
      <c r="B120" s="927"/>
      <c r="C120" s="818"/>
      <c r="D120" s="949"/>
      <c r="E120" s="929"/>
      <c r="F120" s="431" t="s">
        <v>11</v>
      </c>
      <c r="G120" s="3">
        <v>0</v>
      </c>
      <c r="H120" s="912"/>
      <c r="I120" s="610"/>
      <c r="J120" s="355"/>
    </row>
    <row r="121" spans="1:11" ht="21.6" hidden="1" customHeight="1">
      <c r="A121" s="925"/>
      <c r="B121" s="928"/>
      <c r="C121" s="818"/>
      <c r="D121" s="950"/>
      <c r="E121" s="823"/>
      <c r="F121" s="431" t="s">
        <v>972</v>
      </c>
      <c r="G121" s="3"/>
      <c r="H121" s="912"/>
      <c r="I121" s="614"/>
      <c r="J121" s="625"/>
    </row>
    <row r="122" spans="1:11" ht="19.2" hidden="1" customHeight="1">
      <c r="A122" s="923" t="s">
        <v>1041</v>
      </c>
      <c r="B122" s="926" t="s">
        <v>1045</v>
      </c>
      <c r="C122" s="818"/>
      <c r="D122" s="948"/>
      <c r="E122" s="835" t="s">
        <v>1033</v>
      </c>
      <c r="F122" s="431" t="s">
        <v>20</v>
      </c>
      <c r="G122" s="3">
        <f>SUM(G123:G125)</f>
        <v>0</v>
      </c>
      <c r="H122" s="926" t="s">
        <v>84</v>
      </c>
      <c r="I122" s="610"/>
      <c r="J122" s="355"/>
    </row>
    <row r="123" spans="1:11" ht="19.2" hidden="1" customHeight="1">
      <c r="A123" s="924"/>
      <c r="B123" s="927"/>
      <c r="C123" s="818"/>
      <c r="D123" s="949"/>
      <c r="E123" s="929"/>
      <c r="F123" s="431" t="s">
        <v>24</v>
      </c>
      <c r="G123" s="3"/>
      <c r="H123" s="927"/>
      <c r="I123" s="610"/>
      <c r="K123" s="602"/>
    </row>
    <row r="124" spans="1:11" ht="19.2" hidden="1" customHeight="1">
      <c r="A124" s="924"/>
      <c r="B124" s="927"/>
      <c r="C124" s="818"/>
      <c r="D124" s="949"/>
      <c r="E124" s="929"/>
      <c r="F124" s="431" t="s">
        <v>10</v>
      </c>
      <c r="G124" s="3">
        <v>0</v>
      </c>
      <c r="H124" s="927"/>
      <c r="I124" s="610"/>
      <c r="K124" s="602"/>
    </row>
    <row r="125" spans="1:11" ht="19.2" hidden="1" customHeight="1">
      <c r="A125" s="924"/>
      <c r="B125" s="927"/>
      <c r="C125" s="818"/>
      <c r="D125" s="949"/>
      <c r="E125" s="929"/>
      <c r="F125" s="431" t="s">
        <v>11</v>
      </c>
      <c r="G125" s="3">
        <v>0</v>
      </c>
      <c r="H125" s="927"/>
      <c r="I125" s="610"/>
      <c r="J125" s="355"/>
    </row>
    <row r="126" spans="1:11" ht="21.6" hidden="1" customHeight="1">
      <c r="A126" s="925"/>
      <c r="B126" s="928"/>
      <c r="C126" s="818"/>
      <c r="D126" s="950"/>
      <c r="E126" s="823"/>
      <c r="F126" s="431" t="s">
        <v>972</v>
      </c>
      <c r="G126" s="3"/>
      <c r="H126" s="928"/>
      <c r="I126" s="614"/>
      <c r="J126" s="625"/>
    </row>
    <row r="127" spans="1:11" ht="19.2" hidden="1" customHeight="1">
      <c r="A127" s="923" t="s">
        <v>1042</v>
      </c>
      <c r="B127" s="926" t="s">
        <v>1046</v>
      </c>
      <c r="C127" s="818" t="s">
        <v>27</v>
      </c>
      <c r="D127" s="948"/>
      <c r="E127" s="835" t="s">
        <v>1033</v>
      </c>
      <c r="F127" s="431" t="s">
        <v>20</v>
      </c>
      <c r="G127" s="3">
        <f>SUM(G128:G130)</f>
        <v>0</v>
      </c>
      <c r="H127" s="912" t="s">
        <v>942</v>
      </c>
      <c r="I127" s="610"/>
      <c r="J127" s="355"/>
    </row>
    <row r="128" spans="1:11" ht="19.2" hidden="1" customHeight="1">
      <c r="A128" s="924"/>
      <c r="B128" s="927"/>
      <c r="C128" s="818"/>
      <c r="D128" s="949"/>
      <c r="E128" s="929"/>
      <c r="F128" s="431" t="s">
        <v>24</v>
      </c>
      <c r="G128" s="3"/>
      <c r="H128" s="912"/>
      <c r="I128" s="610"/>
      <c r="K128" s="602"/>
    </row>
    <row r="129" spans="1:11" ht="19.2" hidden="1" customHeight="1">
      <c r="A129" s="924"/>
      <c r="B129" s="927"/>
      <c r="C129" s="818"/>
      <c r="D129" s="949"/>
      <c r="E129" s="929"/>
      <c r="F129" s="431" t="s">
        <v>10</v>
      </c>
      <c r="G129" s="3">
        <v>0</v>
      </c>
      <c r="H129" s="912"/>
      <c r="I129" s="610"/>
      <c r="K129" s="602"/>
    </row>
    <row r="130" spans="1:11" ht="19.2" hidden="1" customHeight="1">
      <c r="A130" s="924"/>
      <c r="B130" s="927"/>
      <c r="C130" s="818"/>
      <c r="D130" s="949"/>
      <c r="E130" s="929"/>
      <c r="F130" s="431" t="s">
        <v>11</v>
      </c>
      <c r="G130" s="3">
        <v>0</v>
      </c>
      <c r="H130" s="912"/>
      <c r="I130" s="610"/>
      <c r="J130" s="355"/>
    </row>
    <row r="131" spans="1:11" ht="21.6" hidden="1" customHeight="1">
      <c r="A131" s="925"/>
      <c r="B131" s="928"/>
      <c r="C131" s="818"/>
      <c r="D131" s="950"/>
      <c r="E131" s="823"/>
      <c r="F131" s="431" t="s">
        <v>972</v>
      </c>
      <c r="G131" s="3"/>
      <c r="H131" s="912"/>
      <c r="I131" s="614"/>
      <c r="J131" s="625"/>
    </row>
    <row r="132" spans="1:11" ht="19.2" hidden="1" customHeight="1">
      <c r="A132" s="923" t="s">
        <v>1043</v>
      </c>
      <c r="B132" s="926" t="s">
        <v>1047</v>
      </c>
      <c r="C132" s="818" t="s">
        <v>27</v>
      </c>
      <c r="D132" s="948"/>
      <c r="E132" s="835" t="s">
        <v>1033</v>
      </c>
      <c r="F132" s="431" t="s">
        <v>20</v>
      </c>
      <c r="G132" s="3">
        <f>SUM(G133:G135)</f>
        <v>0</v>
      </c>
      <c r="H132" s="926" t="s">
        <v>84</v>
      </c>
      <c r="I132" s="610"/>
      <c r="J132" s="355"/>
    </row>
    <row r="133" spans="1:11" ht="19.2" hidden="1" customHeight="1">
      <c r="A133" s="924"/>
      <c r="B133" s="927"/>
      <c r="C133" s="818"/>
      <c r="D133" s="949"/>
      <c r="E133" s="929"/>
      <c r="F133" s="431" t="s">
        <v>24</v>
      </c>
      <c r="G133" s="3"/>
      <c r="H133" s="927"/>
      <c r="I133" s="610"/>
      <c r="K133" s="602"/>
    </row>
    <row r="134" spans="1:11" ht="19.2" hidden="1" customHeight="1">
      <c r="A134" s="924"/>
      <c r="B134" s="927"/>
      <c r="C134" s="818"/>
      <c r="D134" s="949"/>
      <c r="E134" s="929"/>
      <c r="F134" s="431" t="s">
        <v>10</v>
      </c>
      <c r="G134" s="3">
        <v>0</v>
      </c>
      <c r="H134" s="927"/>
      <c r="I134" s="610"/>
      <c r="K134" s="602"/>
    </row>
    <row r="135" spans="1:11" ht="19.2" hidden="1" customHeight="1">
      <c r="A135" s="924"/>
      <c r="B135" s="927"/>
      <c r="C135" s="818"/>
      <c r="D135" s="949"/>
      <c r="E135" s="929"/>
      <c r="F135" s="431" t="s">
        <v>11</v>
      </c>
      <c r="G135" s="3">
        <v>0</v>
      </c>
      <c r="H135" s="927"/>
      <c r="I135" s="610"/>
      <c r="J135" s="355"/>
    </row>
    <row r="136" spans="1:11" ht="21.6" hidden="1" customHeight="1">
      <c r="A136" s="925"/>
      <c r="B136" s="928"/>
      <c r="C136" s="818"/>
      <c r="D136" s="950"/>
      <c r="E136" s="823"/>
      <c r="F136" s="431" t="s">
        <v>972</v>
      </c>
      <c r="G136" s="3"/>
      <c r="H136" s="928"/>
      <c r="I136" s="614"/>
      <c r="J136" s="625"/>
    </row>
    <row r="137" spans="1:11">
      <c r="F137" s="626"/>
      <c r="G137" s="626"/>
    </row>
    <row r="138" spans="1:11">
      <c r="F138" s="626"/>
      <c r="G138" s="626"/>
    </row>
    <row r="139" spans="1:11">
      <c r="F139" s="759"/>
      <c r="G139" s="759"/>
      <c r="H139" s="602"/>
    </row>
    <row r="140" spans="1:11">
      <c r="F140" s="626"/>
      <c r="G140" s="759"/>
      <c r="H140" s="602"/>
    </row>
    <row r="141" spans="1:11">
      <c r="F141" s="626"/>
      <c r="G141" s="759"/>
      <c r="H141" s="602"/>
    </row>
    <row r="142" spans="1:11">
      <c r="F142" s="626"/>
      <c r="G142" s="626"/>
    </row>
    <row r="143" spans="1:11">
      <c r="F143" s="626"/>
      <c r="G143" s="626"/>
    </row>
    <row r="144" spans="1:11">
      <c r="F144" s="626"/>
      <c r="G144" s="626"/>
    </row>
    <row r="145" spans="6:7">
      <c r="F145" s="626"/>
      <c r="G145" s="626"/>
    </row>
    <row r="146" spans="6:7">
      <c r="F146" s="626"/>
      <c r="G146" s="626"/>
    </row>
  </sheetData>
  <mergeCells count="172">
    <mergeCell ref="A102:A106"/>
    <mergeCell ref="B102:B106"/>
    <mergeCell ref="C102:C106"/>
    <mergeCell ref="D102:D106"/>
    <mergeCell ref="E102:E106"/>
    <mergeCell ref="H102:H106"/>
    <mergeCell ref="A107:A111"/>
    <mergeCell ref="B107:B111"/>
    <mergeCell ref="C107:C111"/>
    <mergeCell ref="D107:D111"/>
    <mergeCell ref="E107:E111"/>
    <mergeCell ref="H107:H111"/>
    <mergeCell ref="A82:A86"/>
    <mergeCell ref="B82:B86"/>
    <mergeCell ref="C82:C86"/>
    <mergeCell ref="D82:D86"/>
    <mergeCell ref="E82:E86"/>
    <mergeCell ref="H82:H86"/>
    <mergeCell ref="A72:A76"/>
    <mergeCell ref="B72:B76"/>
    <mergeCell ref="C72:C76"/>
    <mergeCell ref="D72:D76"/>
    <mergeCell ref="E72:E76"/>
    <mergeCell ref="H72:H76"/>
    <mergeCell ref="A77:A81"/>
    <mergeCell ref="B77:B81"/>
    <mergeCell ref="C77:C81"/>
    <mergeCell ref="D77:D81"/>
    <mergeCell ref="E77:E81"/>
    <mergeCell ref="H77:H81"/>
    <mergeCell ref="H132:H136"/>
    <mergeCell ref="A132:A136"/>
    <mergeCell ref="B132:B136"/>
    <mergeCell ref="C132:C136"/>
    <mergeCell ref="D132:D136"/>
    <mergeCell ref="E132:E136"/>
    <mergeCell ref="H122:H126"/>
    <mergeCell ref="A127:A131"/>
    <mergeCell ref="B127:B131"/>
    <mergeCell ref="C127:C131"/>
    <mergeCell ref="D127:D131"/>
    <mergeCell ref="E127:E131"/>
    <mergeCell ref="H127:H131"/>
    <mergeCell ref="A122:A126"/>
    <mergeCell ref="B122:B126"/>
    <mergeCell ref="C122:C126"/>
    <mergeCell ref="D122:D126"/>
    <mergeCell ref="E122:E126"/>
    <mergeCell ref="H112:H116"/>
    <mergeCell ref="A117:A121"/>
    <mergeCell ref="B117:B121"/>
    <mergeCell ref="C117:C121"/>
    <mergeCell ref="D117:D121"/>
    <mergeCell ref="E117:E121"/>
    <mergeCell ref="H117:H121"/>
    <mergeCell ref="A112:A116"/>
    <mergeCell ref="B112:B116"/>
    <mergeCell ref="C112:C116"/>
    <mergeCell ref="D112:D116"/>
    <mergeCell ref="E112:E116"/>
    <mergeCell ref="A11:A15"/>
    <mergeCell ref="B11:B15"/>
    <mergeCell ref="A6:A10"/>
    <mergeCell ref="B6:B10"/>
    <mergeCell ref="C6:C10"/>
    <mergeCell ref="C11:C15"/>
    <mergeCell ref="B1:E1"/>
    <mergeCell ref="G1:H1"/>
    <mergeCell ref="A2:H2"/>
    <mergeCell ref="A4:A5"/>
    <mergeCell ref="B4:B5"/>
    <mergeCell ref="C4:D4"/>
    <mergeCell ref="E4:E5"/>
    <mergeCell ref="F4:F5"/>
    <mergeCell ref="G4:G5"/>
    <mergeCell ref="H4:H5"/>
    <mergeCell ref="D11:D15"/>
    <mergeCell ref="E11:E15"/>
    <mergeCell ref="B42:B46"/>
    <mergeCell ref="E42:E46"/>
    <mergeCell ref="H42:H46"/>
    <mergeCell ref="A42:A46"/>
    <mergeCell ref="A47:A51"/>
    <mergeCell ref="B47:B51"/>
    <mergeCell ref="H26:H29"/>
    <mergeCell ref="A21:A25"/>
    <mergeCell ref="B21:B25"/>
    <mergeCell ref="C21:C25"/>
    <mergeCell ref="D21:D25"/>
    <mergeCell ref="E21:E25"/>
    <mergeCell ref="H21:H25"/>
    <mergeCell ref="A26:A29"/>
    <mergeCell ref="B26:B29"/>
    <mergeCell ref="C26:C29"/>
    <mergeCell ref="D26:D29"/>
    <mergeCell ref="E26:E29"/>
    <mergeCell ref="H57:H61"/>
    <mergeCell ref="A52:A56"/>
    <mergeCell ref="B52:B56"/>
    <mergeCell ref="C52:C56"/>
    <mergeCell ref="D52:D56"/>
    <mergeCell ref="A57:A61"/>
    <mergeCell ref="B57:B61"/>
    <mergeCell ref="C57:C61"/>
    <mergeCell ref="D57:D61"/>
    <mergeCell ref="E57:E61"/>
    <mergeCell ref="E52:E56"/>
    <mergeCell ref="H52:H56"/>
    <mergeCell ref="C16:C20"/>
    <mergeCell ref="D16:D20"/>
    <mergeCell ref="E16:E20"/>
    <mergeCell ref="H16:H20"/>
    <mergeCell ref="A38:A41"/>
    <mergeCell ref="B38:B41"/>
    <mergeCell ref="C38:C41"/>
    <mergeCell ref="D38:D41"/>
    <mergeCell ref="E38:E41"/>
    <mergeCell ref="H38:H41"/>
    <mergeCell ref="H34:H37"/>
    <mergeCell ref="A30:A33"/>
    <mergeCell ref="B30:B33"/>
    <mergeCell ref="C30:C33"/>
    <mergeCell ref="D30:D33"/>
    <mergeCell ref="E30:E33"/>
    <mergeCell ref="H30:H33"/>
    <mergeCell ref="A34:A37"/>
    <mergeCell ref="B34:B37"/>
    <mergeCell ref="C34:C37"/>
    <mergeCell ref="D34:D37"/>
    <mergeCell ref="E34:E37"/>
    <mergeCell ref="K7:K8"/>
    <mergeCell ref="J5:K5"/>
    <mergeCell ref="D6:D10"/>
    <mergeCell ref="E6:E10"/>
    <mergeCell ref="H6:H10"/>
    <mergeCell ref="H11:H15"/>
    <mergeCell ref="A67:A71"/>
    <mergeCell ref="H67:H71"/>
    <mergeCell ref="H62:H66"/>
    <mergeCell ref="A62:A66"/>
    <mergeCell ref="B62:B66"/>
    <mergeCell ref="C62:C66"/>
    <mergeCell ref="D62:D66"/>
    <mergeCell ref="E62:E66"/>
    <mergeCell ref="E67:E71"/>
    <mergeCell ref="D67:D71"/>
    <mergeCell ref="C67:C71"/>
    <mergeCell ref="B67:B71"/>
    <mergeCell ref="C47:C51"/>
    <mergeCell ref="D47:D51"/>
    <mergeCell ref="E47:E51"/>
    <mergeCell ref="H47:H51"/>
    <mergeCell ref="A16:A20"/>
    <mergeCell ref="B16:B20"/>
    <mergeCell ref="A97:A101"/>
    <mergeCell ref="B97:B101"/>
    <mergeCell ref="C97:C101"/>
    <mergeCell ref="D97:D101"/>
    <mergeCell ref="E97:E101"/>
    <mergeCell ref="H97:H101"/>
    <mergeCell ref="A87:A91"/>
    <mergeCell ref="B87:B91"/>
    <mergeCell ref="C87:C91"/>
    <mergeCell ref="D87:D91"/>
    <mergeCell ref="E87:E91"/>
    <mergeCell ref="H87:H91"/>
    <mergeCell ref="A92:A96"/>
    <mergeCell ref="B92:B96"/>
    <mergeCell ref="C92:C96"/>
    <mergeCell ref="D92:D96"/>
    <mergeCell ref="E92:E96"/>
    <mergeCell ref="H92:H96"/>
  </mergeCells>
  <pageMargins left="0.78740157480314965" right="0.39370078740157483" top="3.937007874015748E-2" bottom="3.937007874015748E-2" header="0.31496062992125984" footer="0.31496062992125984"/>
  <pageSetup paperSize="9" scale="7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5"/>
  <sheetViews>
    <sheetView zoomScale="80" zoomScaleNormal="80" workbookViewId="0">
      <selection activeCell="J17" sqref="J17"/>
    </sheetView>
  </sheetViews>
  <sheetFormatPr defaultColWidth="8.88671875" defaultRowHeight="13.8"/>
  <cols>
    <col min="1" max="1" width="4.6640625" style="10" customWidth="1"/>
    <col min="2" max="2" width="61.33203125" style="10" customWidth="1"/>
    <col min="3" max="3" width="9.6640625" style="10" customWidth="1"/>
    <col min="4" max="4" width="9.5546875" style="10" customWidth="1"/>
    <col min="5" max="5" width="10.33203125" style="10" customWidth="1"/>
    <col min="6" max="6" width="21.33203125" style="10" customWidth="1"/>
    <col min="7" max="7" width="24.33203125" style="10" customWidth="1"/>
    <col min="8" max="8" width="31.88671875" style="10" customWidth="1"/>
    <col min="9" max="9" width="30.88671875" style="195" hidden="1" customWidth="1"/>
    <col min="10" max="10" width="36.44140625" style="10" customWidth="1"/>
    <col min="11" max="11" width="24.44140625" style="10" customWidth="1"/>
    <col min="12" max="16384" width="8.88671875" style="10"/>
  </cols>
  <sheetData>
    <row r="1" spans="1:10" ht="40.950000000000003" customHeight="1">
      <c r="B1" s="869"/>
      <c r="C1" s="869"/>
      <c r="D1" s="869"/>
      <c r="E1" s="869"/>
      <c r="F1" s="7"/>
      <c r="G1" s="873" t="s">
        <v>769</v>
      </c>
      <c r="H1" s="873"/>
      <c r="I1" s="194"/>
      <c r="J1" s="6"/>
    </row>
    <row r="2" spans="1:10" ht="18" customHeight="1">
      <c r="A2" s="957" t="s">
        <v>768</v>
      </c>
      <c r="B2" s="957"/>
      <c r="C2" s="957"/>
      <c r="D2" s="957"/>
      <c r="E2" s="957"/>
      <c r="F2" s="957"/>
      <c r="G2" s="957"/>
      <c r="H2" s="957"/>
    </row>
    <row r="3" spans="1:10" ht="12.6" customHeight="1">
      <c r="A3" s="511"/>
      <c r="B3" s="511"/>
      <c r="C3" s="511"/>
      <c r="D3" s="511"/>
      <c r="E3" s="511"/>
      <c r="F3" s="511"/>
      <c r="G3" s="511"/>
      <c r="H3" s="532" t="s">
        <v>22</v>
      </c>
    </row>
    <row r="4" spans="1:10" ht="17.399999999999999" customHeight="1">
      <c r="A4" s="839" t="s">
        <v>0</v>
      </c>
      <c r="B4" s="840" t="s">
        <v>6</v>
      </c>
      <c r="C4" s="840" t="s">
        <v>17</v>
      </c>
      <c r="D4" s="840"/>
      <c r="E4" s="840" t="s">
        <v>8</v>
      </c>
      <c r="F4" s="840" t="s">
        <v>19</v>
      </c>
      <c r="G4" s="958" t="s">
        <v>4</v>
      </c>
      <c r="H4" s="840" t="s">
        <v>23</v>
      </c>
    </row>
    <row r="5" spans="1:10" ht="19.95" customHeight="1">
      <c r="A5" s="839"/>
      <c r="B5" s="840"/>
      <c r="C5" s="510" t="s">
        <v>7</v>
      </c>
      <c r="D5" s="510" t="s">
        <v>18</v>
      </c>
      <c r="E5" s="840"/>
      <c r="F5" s="840"/>
      <c r="G5" s="959"/>
      <c r="H5" s="840"/>
    </row>
    <row r="6" spans="1:10" ht="19.2" customHeight="1">
      <c r="A6" s="815"/>
      <c r="B6" s="918" t="s">
        <v>569</v>
      </c>
      <c r="C6" s="818" t="s">
        <v>9</v>
      </c>
      <c r="D6" s="818" t="s">
        <v>9</v>
      </c>
      <c r="E6" s="818" t="s">
        <v>9</v>
      </c>
      <c r="F6" s="431" t="s">
        <v>20</v>
      </c>
      <c r="G6" s="750">
        <f>G7+G8+G9</f>
        <v>93290.98444</v>
      </c>
      <c r="H6" s="960" t="s">
        <v>9</v>
      </c>
    </row>
    <row r="7" spans="1:10" ht="19.2" customHeight="1">
      <c r="A7" s="815"/>
      <c r="B7" s="918"/>
      <c r="C7" s="818"/>
      <c r="D7" s="818"/>
      <c r="E7" s="818"/>
      <c r="F7" s="431" t="s">
        <v>24</v>
      </c>
      <c r="G7" s="750">
        <f>G11+G51</f>
        <v>0</v>
      </c>
      <c r="H7" s="961"/>
    </row>
    <row r="8" spans="1:10" ht="19.2" customHeight="1">
      <c r="A8" s="815"/>
      <c r="B8" s="919"/>
      <c r="C8" s="818"/>
      <c r="D8" s="818"/>
      <c r="E8" s="818"/>
      <c r="F8" s="431" t="s">
        <v>10</v>
      </c>
      <c r="G8" s="750">
        <f>G12+G52</f>
        <v>92581.102620000005</v>
      </c>
      <c r="H8" s="961"/>
    </row>
    <row r="9" spans="1:10" ht="19.2" customHeight="1">
      <c r="A9" s="815"/>
      <c r="B9" s="919"/>
      <c r="C9" s="818"/>
      <c r="D9" s="818"/>
      <c r="E9" s="818"/>
      <c r="F9" s="431" t="s">
        <v>11</v>
      </c>
      <c r="G9" s="750">
        <f>G13+G53</f>
        <v>709.88182000000006</v>
      </c>
      <c r="H9" s="962"/>
      <c r="J9" s="18"/>
    </row>
    <row r="10" spans="1:10" ht="19.2" customHeight="1">
      <c r="A10" s="819" t="s">
        <v>3</v>
      </c>
      <c r="B10" s="918" t="s">
        <v>656</v>
      </c>
      <c r="C10" s="817" t="s">
        <v>9</v>
      </c>
      <c r="D10" s="835" t="s">
        <v>9</v>
      </c>
      <c r="E10" s="817" t="s">
        <v>767</v>
      </c>
      <c r="F10" s="431" t="s">
        <v>20</v>
      </c>
      <c r="G10" s="751">
        <f>G11+G12+G13</f>
        <v>639.21288000000004</v>
      </c>
      <c r="H10" s="832" t="s">
        <v>9</v>
      </c>
      <c r="I10" s="200">
        <f>I11+I12+I13</f>
        <v>15553.630299999999</v>
      </c>
      <c r="J10" s="18"/>
    </row>
    <row r="11" spans="1:10" ht="19.2" customHeight="1">
      <c r="A11" s="819"/>
      <c r="B11" s="918"/>
      <c r="C11" s="817"/>
      <c r="D11" s="929"/>
      <c r="E11" s="817"/>
      <c r="F11" s="431" t="s">
        <v>24</v>
      </c>
      <c r="G11" s="2">
        <v>0</v>
      </c>
      <c r="H11" s="935"/>
      <c r="I11" s="18">
        <v>15382.70953</v>
      </c>
      <c r="J11" s="18"/>
    </row>
    <row r="12" spans="1:10" ht="19.2" customHeight="1">
      <c r="A12" s="819"/>
      <c r="B12" s="918"/>
      <c r="C12" s="817"/>
      <c r="D12" s="929"/>
      <c r="E12" s="817"/>
      <c r="F12" s="431" t="s">
        <v>10</v>
      </c>
      <c r="G12" s="2">
        <f>G16+G40</f>
        <v>581.10262</v>
      </c>
      <c r="H12" s="935"/>
      <c r="I12" s="18">
        <v>155.38252</v>
      </c>
      <c r="J12" s="18"/>
    </row>
    <row r="13" spans="1:10" ht="19.2" customHeight="1">
      <c r="A13" s="819"/>
      <c r="B13" s="918"/>
      <c r="C13" s="817"/>
      <c r="D13" s="823"/>
      <c r="E13" s="817"/>
      <c r="F13" s="431" t="s">
        <v>11</v>
      </c>
      <c r="G13" s="2">
        <f>G17+G41</f>
        <v>58.110259999999997</v>
      </c>
      <c r="H13" s="936"/>
      <c r="I13" s="201">
        <v>15.53825</v>
      </c>
    </row>
    <row r="14" spans="1:10" ht="19.2" customHeight="1">
      <c r="A14" s="821" t="s">
        <v>25</v>
      </c>
      <c r="B14" s="876" t="s">
        <v>1141</v>
      </c>
      <c r="C14" s="818" t="s">
        <v>27</v>
      </c>
      <c r="D14" s="881">
        <v>1840</v>
      </c>
      <c r="E14" s="818" t="s">
        <v>767</v>
      </c>
      <c r="F14" s="431" t="s">
        <v>20</v>
      </c>
      <c r="G14" s="3">
        <f>G15+G16+G17+G18</f>
        <v>210.09676000000002</v>
      </c>
      <c r="H14" s="912" t="s">
        <v>84</v>
      </c>
      <c r="I14" s="197"/>
      <c r="J14" s="18"/>
    </row>
    <row r="15" spans="1:10" ht="19.2" customHeight="1">
      <c r="A15" s="821"/>
      <c r="B15" s="876"/>
      <c r="C15" s="818"/>
      <c r="D15" s="882"/>
      <c r="E15" s="818"/>
      <c r="F15" s="39" t="s">
        <v>24</v>
      </c>
      <c r="G15" s="3">
        <v>0</v>
      </c>
      <c r="H15" s="912"/>
      <c r="I15" s="197" t="e">
        <f>G19+G23+#REF!+G27</f>
        <v>#REF!</v>
      </c>
      <c r="J15" s="18"/>
    </row>
    <row r="16" spans="1:10" ht="19.2" customHeight="1">
      <c r="A16" s="821"/>
      <c r="B16" s="876"/>
      <c r="C16" s="818"/>
      <c r="D16" s="882"/>
      <c r="E16" s="818"/>
      <c r="F16" s="39" t="s">
        <v>10</v>
      </c>
      <c r="G16" s="3">
        <v>190.99706</v>
      </c>
      <c r="H16" s="912"/>
      <c r="I16" s="197" t="e">
        <f>G20+G24+#REF!+G28</f>
        <v>#REF!</v>
      </c>
      <c r="J16" s="18"/>
    </row>
    <row r="17" spans="1:10" ht="19.2" customHeight="1">
      <c r="A17" s="821"/>
      <c r="B17" s="876"/>
      <c r="C17" s="818"/>
      <c r="D17" s="883"/>
      <c r="E17" s="818"/>
      <c r="F17" s="39" t="s">
        <v>11</v>
      </c>
      <c r="G17" s="3">
        <v>19.099699999999999</v>
      </c>
      <c r="H17" s="912"/>
      <c r="I17" s="197"/>
    </row>
    <row r="18" spans="1:10" ht="19.2" hidden="1" customHeight="1">
      <c r="A18" s="951" t="s">
        <v>12</v>
      </c>
      <c r="B18" s="868"/>
      <c r="C18" s="818" t="s">
        <v>27</v>
      </c>
      <c r="D18" s="881">
        <v>545</v>
      </c>
      <c r="E18" s="818" t="s">
        <v>517</v>
      </c>
      <c r="F18" s="431" t="s">
        <v>20</v>
      </c>
      <c r="G18" s="3"/>
      <c r="H18" s="912" t="s">
        <v>84</v>
      </c>
      <c r="I18" s="197"/>
    </row>
    <row r="19" spans="1:10" ht="19.2" hidden="1" customHeight="1">
      <c r="A19" s="951"/>
      <c r="B19" s="868"/>
      <c r="C19" s="818"/>
      <c r="D19" s="882"/>
      <c r="E19" s="818"/>
      <c r="F19" s="39" t="s">
        <v>24</v>
      </c>
      <c r="G19" s="213">
        <f>ROUND(G18*I19,5)</f>
        <v>0</v>
      </c>
      <c r="H19" s="912"/>
      <c r="I19" s="199">
        <f>ROUND(I11/I10,16)</f>
        <v>0.98901087612967098</v>
      </c>
      <c r="J19" s="202"/>
    </row>
    <row r="20" spans="1:10" ht="19.2" hidden="1" customHeight="1">
      <c r="A20" s="951"/>
      <c r="B20" s="868"/>
      <c r="C20" s="818"/>
      <c r="D20" s="882"/>
      <c r="E20" s="818"/>
      <c r="F20" s="39" t="s">
        <v>10</v>
      </c>
      <c r="G20" s="213">
        <f>ROUND(G18*I20,5)</f>
        <v>0</v>
      </c>
      <c r="H20" s="912"/>
      <c r="I20" s="199">
        <f>ROUND(I12/I10,16)</f>
        <v>9.9901127262874995E-3</v>
      </c>
      <c r="J20" s="202"/>
    </row>
    <row r="21" spans="1:10" ht="19.2" hidden="1" customHeight="1">
      <c r="A21" s="951"/>
      <c r="B21" s="868"/>
      <c r="C21" s="818"/>
      <c r="D21" s="883"/>
      <c r="E21" s="818"/>
      <c r="F21" s="39" t="s">
        <v>11</v>
      </c>
      <c r="G21" s="5">
        <f>G18-G19-G20</f>
        <v>0</v>
      </c>
      <c r="H21" s="912"/>
      <c r="I21" s="199">
        <f>ROUND(I13/I10,16)</f>
        <v>9.9901114404140007E-4</v>
      </c>
      <c r="J21" s="202"/>
    </row>
    <row r="22" spans="1:10" ht="19.2" hidden="1" customHeight="1">
      <c r="A22" s="951" t="s">
        <v>518</v>
      </c>
      <c r="B22" s="868"/>
      <c r="C22" s="818" t="s">
        <v>27</v>
      </c>
      <c r="D22" s="881">
        <v>1190</v>
      </c>
      <c r="E22" s="818" t="s">
        <v>517</v>
      </c>
      <c r="F22" s="431" t="s">
        <v>20</v>
      </c>
      <c r="G22" s="3"/>
      <c r="H22" s="912" t="s">
        <v>84</v>
      </c>
      <c r="I22" s="197"/>
    </row>
    <row r="23" spans="1:10" ht="19.2" hidden="1" customHeight="1">
      <c r="A23" s="951"/>
      <c r="B23" s="868"/>
      <c r="C23" s="818"/>
      <c r="D23" s="882"/>
      <c r="E23" s="818"/>
      <c r="F23" s="39" t="s">
        <v>24</v>
      </c>
      <c r="G23" s="213">
        <f>ROUND(G22*I19,5)</f>
        <v>0</v>
      </c>
      <c r="H23" s="912"/>
      <c r="I23" s="159"/>
      <c r="J23" s="18"/>
    </row>
    <row r="24" spans="1:10" ht="19.2" hidden="1" customHeight="1">
      <c r="A24" s="951"/>
      <c r="B24" s="868"/>
      <c r="C24" s="818"/>
      <c r="D24" s="882"/>
      <c r="E24" s="818"/>
      <c r="F24" s="39" t="s">
        <v>10</v>
      </c>
      <c r="G24" s="213">
        <f>ROUND(G22*I20,5)</f>
        <v>0</v>
      </c>
      <c r="H24" s="912"/>
      <c r="I24" s="159"/>
      <c r="J24" s="18"/>
    </row>
    <row r="25" spans="1:10" ht="19.2" hidden="1" customHeight="1">
      <c r="A25" s="951"/>
      <c r="B25" s="868"/>
      <c r="C25" s="818"/>
      <c r="D25" s="883"/>
      <c r="E25" s="818"/>
      <c r="F25" s="39" t="s">
        <v>11</v>
      </c>
      <c r="G25" s="5">
        <f>G22-G23-G24</f>
        <v>0</v>
      </c>
      <c r="H25" s="912"/>
      <c r="I25" s="159"/>
    </row>
    <row r="26" spans="1:10" ht="19.2" hidden="1" customHeight="1">
      <c r="A26" s="951" t="s">
        <v>519</v>
      </c>
      <c r="B26" s="868"/>
      <c r="C26" s="818" t="s">
        <v>27</v>
      </c>
      <c r="D26" s="881">
        <v>253</v>
      </c>
      <c r="E26" s="818" t="s">
        <v>517</v>
      </c>
      <c r="F26" s="431" t="s">
        <v>20</v>
      </c>
      <c r="G26" s="3"/>
      <c r="H26" s="912" t="s">
        <v>84</v>
      </c>
      <c r="I26" s="197"/>
    </row>
    <row r="27" spans="1:10" ht="19.2" hidden="1" customHeight="1">
      <c r="A27" s="951"/>
      <c r="B27" s="868"/>
      <c r="C27" s="818"/>
      <c r="D27" s="882"/>
      <c r="E27" s="818"/>
      <c r="F27" s="39" t="s">
        <v>24</v>
      </c>
      <c r="G27" s="213">
        <f>ROUND(G26*I19,5)</f>
        <v>0</v>
      </c>
      <c r="H27" s="912"/>
      <c r="I27" s="159"/>
      <c r="J27" s="18"/>
    </row>
    <row r="28" spans="1:10" ht="19.2" hidden="1" customHeight="1">
      <c r="A28" s="951"/>
      <c r="B28" s="868"/>
      <c r="C28" s="818"/>
      <c r="D28" s="882"/>
      <c r="E28" s="818"/>
      <c r="F28" s="39" t="s">
        <v>10</v>
      </c>
      <c r="G28" s="213">
        <f>ROUND(G26*I20,5)</f>
        <v>0</v>
      </c>
      <c r="H28" s="912"/>
      <c r="I28" s="159"/>
      <c r="J28" s="18"/>
    </row>
    <row r="29" spans="1:10" ht="19.2" hidden="1" customHeight="1">
      <c r="A29" s="951"/>
      <c r="B29" s="868"/>
      <c r="C29" s="818"/>
      <c r="D29" s="883"/>
      <c r="E29" s="818"/>
      <c r="F29" s="39" t="s">
        <v>11</v>
      </c>
      <c r="G29" s="5">
        <f>G26-G27-G28</f>
        <v>0</v>
      </c>
      <c r="H29" s="912"/>
      <c r="I29" s="159"/>
    </row>
    <row r="30" spans="1:10" ht="19.2" hidden="1" customHeight="1">
      <c r="A30" s="951" t="s">
        <v>520</v>
      </c>
      <c r="B30" s="868"/>
      <c r="C30" s="818" t="s">
        <v>27</v>
      </c>
      <c r="D30" s="881">
        <v>1035</v>
      </c>
      <c r="E30" s="818" t="s">
        <v>517</v>
      </c>
      <c r="F30" s="431" t="s">
        <v>20</v>
      </c>
      <c r="G30" s="3"/>
      <c r="H30" s="912" t="s">
        <v>84</v>
      </c>
      <c r="I30" s="197"/>
    </row>
    <row r="31" spans="1:10" ht="19.2" hidden="1" customHeight="1">
      <c r="A31" s="951"/>
      <c r="B31" s="868"/>
      <c r="C31" s="818"/>
      <c r="D31" s="882"/>
      <c r="E31" s="818"/>
      <c r="F31" s="39" t="s">
        <v>24</v>
      </c>
      <c r="G31" s="244">
        <f>ROUND(G30*I19,5)</f>
        <v>0</v>
      </c>
      <c r="H31" s="912"/>
      <c r="I31" s="159"/>
      <c r="J31" s="18"/>
    </row>
    <row r="32" spans="1:10" ht="19.2" hidden="1" customHeight="1">
      <c r="A32" s="951"/>
      <c r="B32" s="868"/>
      <c r="C32" s="818"/>
      <c r="D32" s="882"/>
      <c r="E32" s="818"/>
      <c r="F32" s="39" t="s">
        <v>10</v>
      </c>
      <c r="G32" s="244">
        <f>ROUND(G30*I20,5)</f>
        <v>0</v>
      </c>
      <c r="H32" s="912"/>
      <c r="I32" s="159"/>
      <c r="J32" s="18"/>
    </row>
    <row r="33" spans="1:10" ht="19.2" hidden="1" customHeight="1">
      <c r="A33" s="951"/>
      <c r="B33" s="868"/>
      <c r="C33" s="818"/>
      <c r="D33" s="883"/>
      <c r="E33" s="818"/>
      <c r="F33" s="39" t="s">
        <v>11</v>
      </c>
      <c r="G33" s="9">
        <f>G30-G31-G32</f>
        <v>0</v>
      </c>
      <c r="H33" s="912"/>
      <c r="I33" s="159"/>
    </row>
    <row r="34" spans="1:10" ht="19.2" hidden="1" customHeight="1">
      <c r="A34" s="951" t="s">
        <v>521</v>
      </c>
      <c r="B34" s="868"/>
      <c r="C34" s="818" t="s">
        <v>27</v>
      </c>
      <c r="D34" s="881">
        <v>457</v>
      </c>
      <c r="E34" s="818" t="s">
        <v>517</v>
      </c>
      <c r="F34" s="431" t="s">
        <v>20</v>
      </c>
      <c r="G34" s="3"/>
      <c r="H34" s="912" t="s">
        <v>84</v>
      </c>
      <c r="I34" s="209"/>
    </row>
    <row r="35" spans="1:10" ht="19.2" hidden="1" customHeight="1">
      <c r="A35" s="951"/>
      <c r="B35" s="868"/>
      <c r="C35" s="818"/>
      <c r="D35" s="882"/>
      <c r="E35" s="818"/>
      <c r="F35" s="39" t="s">
        <v>24</v>
      </c>
      <c r="G35" s="213">
        <f>ROUND(G34*I19,5)</f>
        <v>0</v>
      </c>
      <c r="H35" s="912"/>
      <c r="I35" s="206"/>
    </row>
    <row r="36" spans="1:10" ht="19.2" hidden="1" customHeight="1">
      <c r="A36" s="951"/>
      <c r="B36" s="868"/>
      <c r="C36" s="818"/>
      <c r="D36" s="882"/>
      <c r="E36" s="818"/>
      <c r="F36" s="39" t="s">
        <v>10</v>
      </c>
      <c r="G36" s="213">
        <f>ROUND(G34*I20,5)</f>
        <v>0</v>
      </c>
      <c r="H36" s="912"/>
      <c r="I36" s="18"/>
    </row>
    <row r="37" spans="1:10" ht="19.2" hidden="1" customHeight="1">
      <c r="A37" s="951"/>
      <c r="B37" s="868"/>
      <c r="C37" s="818"/>
      <c r="D37" s="883"/>
      <c r="E37" s="818"/>
      <c r="F37" s="39" t="s">
        <v>11</v>
      </c>
      <c r="G37" s="5">
        <f>G34-G35-G36</f>
        <v>0</v>
      </c>
      <c r="H37" s="912"/>
      <c r="I37" s="18"/>
    </row>
    <row r="38" spans="1:10" ht="19.2" customHeight="1">
      <c r="A38" s="821" t="s">
        <v>45</v>
      </c>
      <c r="B38" s="876" t="s">
        <v>1142</v>
      </c>
      <c r="C38" s="818" t="s">
        <v>27</v>
      </c>
      <c r="D38" s="874">
        <v>5205</v>
      </c>
      <c r="E38" s="818" t="s">
        <v>767</v>
      </c>
      <c r="F38" s="431" t="s">
        <v>20</v>
      </c>
      <c r="G38" s="3">
        <f>G39+G40+G41</f>
        <v>429.11612000000002</v>
      </c>
      <c r="H38" s="912" t="s">
        <v>84</v>
      </c>
      <c r="I38" s="198"/>
      <c r="J38" s="161"/>
    </row>
    <row r="39" spans="1:10" ht="19.2" customHeight="1">
      <c r="A39" s="821"/>
      <c r="B39" s="876"/>
      <c r="C39" s="818"/>
      <c r="D39" s="874"/>
      <c r="E39" s="818"/>
      <c r="F39" s="39" t="s">
        <v>24</v>
      </c>
      <c r="G39" s="213">
        <v>0</v>
      </c>
      <c r="H39" s="912"/>
      <c r="I39" s="198"/>
      <c r="J39" s="160"/>
    </row>
    <row r="40" spans="1:10" ht="19.2" customHeight="1">
      <c r="A40" s="821"/>
      <c r="B40" s="876"/>
      <c r="C40" s="818"/>
      <c r="D40" s="874"/>
      <c r="E40" s="818"/>
      <c r="F40" s="39" t="s">
        <v>10</v>
      </c>
      <c r="G40" s="213">
        <v>390.10556000000003</v>
      </c>
      <c r="H40" s="912"/>
      <c r="I40" s="198"/>
      <c r="J40" s="160"/>
    </row>
    <row r="41" spans="1:10" ht="27" customHeight="1">
      <c r="A41" s="821"/>
      <c r="B41" s="876"/>
      <c r="C41" s="818"/>
      <c r="D41" s="874"/>
      <c r="E41" s="818"/>
      <c r="F41" s="39" t="s">
        <v>11</v>
      </c>
      <c r="G41" s="213">
        <v>39.010559999999998</v>
      </c>
      <c r="H41" s="912"/>
      <c r="I41" s="198"/>
      <c r="J41" s="160"/>
    </row>
    <row r="42" spans="1:10" ht="19.2" hidden="1" customHeight="1">
      <c r="A42" s="867" t="s">
        <v>16</v>
      </c>
      <c r="B42" s="878" t="s">
        <v>450</v>
      </c>
      <c r="C42" s="850"/>
      <c r="D42" s="880">
        <v>500</v>
      </c>
      <c r="E42" s="850" t="s">
        <v>368</v>
      </c>
      <c r="F42" s="37" t="s">
        <v>20</v>
      </c>
      <c r="G42" s="3"/>
      <c r="H42" s="847" t="s">
        <v>112</v>
      </c>
      <c r="I42" s="203">
        <v>6023.9049999999997</v>
      </c>
    </row>
    <row r="43" spans="1:10" ht="19.2" hidden="1" customHeight="1">
      <c r="A43" s="867"/>
      <c r="B43" s="878"/>
      <c r="C43" s="850"/>
      <c r="D43" s="880"/>
      <c r="E43" s="850"/>
      <c r="F43" s="38" t="s">
        <v>24</v>
      </c>
      <c r="G43" s="213"/>
      <c r="H43" s="847"/>
      <c r="I43" s="203">
        <f>ROUND(I42*I19,5)</f>
        <v>5957.7075599999998</v>
      </c>
      <c r="J43" s="18"/>
    </row>
    <row r="44" spans="1:10" ht="19.2" hidden="1" customHeight="1">
      <c r="A44" s="867"/>
      <c r="B44" s="878"/>
      <c r="C44" s="850"/>
      <c r="D44" s="880"/>
      <c r="E44" s="850"/>
      <c r="F44" s="39" t="s">
        <v>10</v>
      </c>
      <c r="G44" s="213"/>
      <c r="H44" s="847"/>
      <c r="I44" s="203">
        <f>ROUND(I42*I20,5)</f>
        <v>60.179490000000001</v>
      </c>
      <c r="J44" s="18"/>
    </row>
    <row r="45" spans="1:10" ht="19.2" hidden="1" customHeight="1">
      <c r="A45" s="867"/>
      <c r="B45" s="878"/>
      <c r="C45" s="850"/>
      <c r="D45" s="880"/>
      <c r="E45" s="850"/>
      <c r="F45" s="39" t="s">
        <v>11</v>
      </c>
      <c r="G45" s="213"/>
      <c r="H45" s="847"/>
      <c r="I45" s="203">
        <f>I42-I43-I44</f>
        <v>6.0179499999999138</v>
      </c>
      <c r="J45" s="18"/>
    </row>
    <row r="46" spans="1:10" ht="19.2" hidden="1" customHeight="1">
      <c r="A46" s="848" t="s">
        <v>399</v>
      </c>
      <c r="B46" s="884"/>
      <c r="C46" s="850"/>
      <c r="D46" s="851"/>
      <c r="E46" s="850"/>
      <c r="F46" s="37" t="s">
        <v>20</v>
      </c>
      <c r="G46" s="3"/>
      <c r="H46" s="847"/>
      <c r="I46" s="159"/>
    </row>
    <row r="47" spans="1:10" ht="15.6" hidden="1" customHeight="1">
      <c r="A47" s="848"/>
      <c r="B47" s="884"/>
      <c r="C47" s="850"/>
      <c r="D47" s="851"/>
      <c r="E47" s="850"/>
      <c r="F47" s="38" t="s">
        <v>24</v>
      </c>
      <c r="G47" s="9"/>
      <c r="H47" s="847"/>
      <c r="I47" s="159"/>
    </row>
    <row r="48" spans="1:10" ht="13.2" hidden="1" customHeight="1">
      <c r="A48" s="848"/>
      <c r="B48" s="884"/>
      <c r="C48" s="850"/>
      <c r="D48" s="851"/>
      <c r="E48" s="850"/>
      <c r="F48" s="38" t="s">
        <v>10</v>
      </c>
      <c r="G48" s="9"/>
      <c r="H48" s="847"/>
      <c r="I48" s="159"/>
    </row>
    <row r="49" spans="1:17" ht="16.2" hidden="1" customHeight="1">
      <c r="A49" s="848"/>
      <c r="B49" s="884"/>
      <c r="C49" s="850"/>
      <c r="D49" s="851"/>
      <c r="E49" s="850"/>
      <c r="F49" s="38" t="s">
        <v>11</v>
      </c>
      <c r="G49" s="9"/>
      <c r="H49" s="847"/>
      <c r="I49" s="159"/>
      <c r="J49" s="17"/>
    </row>
    <row r="50" spans="1:17" ht="19.2" customHeight="1">
      <c r="A50" s="819" t="s">
        <v>48</v>
      </c>
      <c r="B50" s="963" t="s">
        <v>582</v>
      </c>
      <c r="C50" s="817" t="s">
        <v>9</v>
      </c>
      <c r="D50" s="817" t="s">
        <v>9</v>
      </c>
      <c r="E50" s="817" t="s">
        <v>1163</v>
      </c>
      <c r="F50" s="431" t="s">
        <v>20</v>
      </c>
      <c r="G50" s="2">
        <f>G51+G52+G53</f>
        <v>92651.771559999994</v>
      </c>
      <c r="H50" s="912" t="s">
        <v>84</v>
      </c>
      <c r="I50" s="200"/>
      <c r="J50" s="394"/>
      <c r="K50" s="394"/>
      <c r="L50" s="395"/>
      <c r="M50" s="395"/>
      <c r="N50" s="395"/>
      <c r="O50" s="395"/>
      <c r="P50" s="395"/>
      <c r="Q50" s="395"/>
    </row>
    <row r="51" spans="1:17" ht="19.2" customHeight="1">
      <c r="A51" s="819"/>
      <c r="B51" s="964"/>
      <c r="C51" s="817"/>
      <c r="D51" s="817"/>
      <c r="E51" s="817"/>
      <c r="F51" s="431" t="s">
        <v>24</v>
      </c>
      <c r="G51" s="751">
        <v>0</v>
      </c>
      <c r="H51" s="912"/>
      <c r="I51" s="18"/>
      <c r="J51" s="394"/>
      <c r="K51" s="394"/>
      <c r="L51" s="395"/>
      <c r="M51" s="395"/>
      <c r="N51" s="395"/>
      <c r="O51" s="395"/>
      <c r="P51" s="395"/>
      <c r="Q51" s="395"/>
    </row>
    <row r="52" spans="1:17" ht="19.2" customHeight="1">
      <c r="A52" s="819"/>
      <c r="B52" s="964"/>
      <c r="C52" s="817"/>
      <c r="D52" s="817"/>
      <c r="E52" s="817"/>
      <c r="F52" s="431" t="s">
        <v>10</v>
      </c>
      <c r="G52" s="751">
        <v>92000</v>
      </c>
      <c r="H52" s="912"/>
      <c r="I52" s="18"/>
      <c r="J52" s="394"/>
      <c r="K52" s="394"/>
      <c r="L52" s="395"/>
      <c r="M52" s="395"/>
      <c r="N52" s="395"/>
      <c r="O52" s="395"/>
      <c r="P52" s="395"/>
      <c r="Q52" s="395"/>
    </row>
    <row r="53" spans="1:17" ht="19.2" customHeight="1">
      <c r="A53" s="819"/>
      <c r="B53" s="965"/>
      <c r="C53" s="817"/>
      <c r="D53" s="817"/>
      <c r="E53" s="817"/>
      <c r="F53" s="431" t="s">
        <v>11</v>
      </c>
      <c r="G53" s="751">
        <v>651.77156000000002</v>
      </c>
      <c r="H53" s="912"/>
      <c r="I53" s="201"/>
      <c r="J53" s="395"/>
      <c r="K53" s="395"/>
      <c r="L53" s="395"/>
      <c r="M53" s="395"/>
      <c r="N53" s="395"/>
      <c r="O53" s="395"/>
      <c r="P53" s="395"/>
      <c r="Q53" s="395"/>
    </row>
    <row r="54" spans="1:17">
      <c r="F54" s="20"/>
      <c r="G54" s="20"/>
    </row>
    <row r="55" spans="1:17">
      <c r="F55" s="20"/>
      <c r="G55" s="128"/>
    </row>
    <row r="56" spans="1:17">
      <c r="F56" s="20"/>
      <c r="G56" s="128"/>
    </row>
    <row r="57" spans="1:17">
      <c r="F57" s="20"/>
      <c r="G57" s="20"/>
    </row>
    <row r="58" spans="1:17">
      <c r="F58" s="20"/>
      <c r="G58" s="20"/>
    </row>
    <row r="59" spans="1:17">
      <c r="F59" s="20"/>
      <c r="G59" s="128"/>
    </row>
    <row r="60" spans="1:17">
      <c r="F60" s="20"/>
      <c r="G60" s="20"/>
    </row>
    <row r="61" spans="1:17">
      <c r="F61" s="20"/>
      <c r="G61" s="20"/>
    </row>
    <row r="62" spans="1:17">
      <c r="F62" s="20"/>
      <c r="G62" s="20"/>
    </row>
    <row r="63" spans="1:17">
      <c r="F63" s="20"/>
      <c r="G63" s="20"/>
    </row>
    <row r="64" spans="1:17">
      <c r="F64" s="20"/>
      <c r="G64" s="20"/>
    </row>
    <row r="65" spans="6:7">
      <c r="F65" s="20"/>
      <c r="G65" s="20"/>
    </row>
    <row r="66" spans="6:7">
      <c r="F66" s="20"/>
      <c r="G66" s="20"/>
    </row>
    <row r="67" spans="6:7">
      <c r="F67" s="20"/>
      <c r="G67" s="20"/>
    </row>
    <row r="68" spans="6:7">
      <c r="F68" s="20"/>
      <c r="G68" s="20"/>
    </row>
    <row r="69" spans="6:7">
      <c r="F69" s="20"/>
      <c r="G69" s="20"/>
    </row>
    <row r="70" spans="6:7">
      <c r="F70" s="20"/>
      <c r="G70" s="20"/>
    </row>
    <row r="71" spans="6:7">
      <c r="F71" s="20"/>
      <c r="G71" s="20"/>
    </row>
    <row r="72" spans="6:7">
      <c r="F72" s="20"/>
      <c r="G72" s="20"/>
    </row>
    <row r="73" spans="6:7">
      <c r="F73" s="20"/>
      <c r="G73" s="20"/>
    </row>
    <row r="74" spans="6:7">
      <c r="F74" s="20"/>
      <c r="G74" s="20"/>
    </row>
    <row r="75" spans="6:7">
      <c r="F75" s="20"/>
      <c r="G75" s="20"/>
    </row>
    <row r="76" spans="6:7">
      <c r="F76" s="20"/>
      <c r="G76" s="20"/>
    </row>
    <row r="77" spans="6:7">
      <c r="F77" s="20"/>
      <c r="G77" s="20"/>
    </row>
    <row r="78" spans="6:7">
      <c r="F78" s="20"/>
      <c r="G78" s="20"/>
    </row>
    <row r="79" spans="6:7">
      <c r="F79" s="20"/>
      <c r="G79" s="20"/>
    </row>
    <row r="80" spans="6:7">
      <c r="F80" s="20"/>
      <c r="G80" s="20"/>
    </row>
    <row r="81" spans="6:7">
      <c r="F81" s="20"/>
      <c r="G81" s="20"/>
    </row>
    <row r="82" spans="6:7">
      <c r="F82" s="20"/>
      <c r="G82" s="20"/>
    </row>
    <row r="83" spans="6:7">
      <c r="F83" s="20"/>
      <c r="G83" s="20"/>
    </row>
    <row r="84" spans="6:7">
      <c r="F84" s="20"/>
      <c r="G84" s="20"/>
    </row>
    <row r="85" spans="6:7">
      <c r="F85" s="20"/>
      <c r="G85" s="20"/>
    </row>
    <row r="86" spans="6:7">
      <c r="F86" s="20"/>
      <c r="G86" s="20"/>
    </row>
    <row r="87" spans="6:7">
      <c r="F87" s="20"/>
      <c r="G87" s="20"/>
    </row>
    <row r="88" spans="6:7">
      <c r="F88" s="20"/>
      <c r="G88" s="20"/>
    </row>
    <row r="89" spans="6:7">
      <c r="F89" s="20"/>
      <c r="G89" s="20"/>
    </row>
    <row r="90" spans="6:7">
      <c r="F90" s="20"/>
      <c r="G90" s="20"/>
    </row>
    <row r="91" spans="6:7">
      <c r="F91" s="20"/>
      <c r="G91" s="20"/>
    </row>
    <row r="92" spans="6:7">
      <c r="F92" s="20"/>
      <c r="G92" s="20"/>
    </row>
    <row r="93" spans="6:7">
      <c r="F93" s="20"/>
      <c r="G93" s="20"/>
    </row>
    <row r="94" spans="6:7">
      <c r="F94" s="20"/>
      <c r="G94" s="20"/>
    </row>
    <row r="95" spans="6:7">
      <c r="F95" s="20"/>
      <c r="G95" s="20"/>
    </row>
  </sheetData>
  <mergeCells count="82">
    <mergeCell ref="H50:H53"/>
    <mergeCell ref="A50:A53"/>
    <mergeCell ref="B50:B53"/>
    <mergeCell ref="C50:C53"/>
    <mergeCell ref="D50:D53"/>
    <mergeCell ref="E50:E53"/>
    <mergeCell ref="H6:H9"/>
    <mergeCell ref="B1:E1"/>
    <mergeCell ref="G1:H1"/>
    <mergeCell ref="A2:H2"/>
    <mergeCell ref="A4:A5"/>
    <mergeCell ref="B4:B5"/>
    <mergeCell ref="C4:D4"/>
    <mergeCell ref="E4:E5"/>
    <mergeCell ref="F4:F5"/>
    <mergeCell ref="G4:G5"/>
    <mergeCell ref="H4:H5"/>
    <mergeCell ref="A6:A9"/>
    <mergeCell ref="B6:B9"/>
    <mergeCell ref="C6:C9"/>
    <mergeCell ref="D6:D9"/>
    <mergeCell ref="E6:E9"/>
    <mergeCell ref="H14:H17"/>
    <mergeCell ref="A10:A13"/>
    <mergeCell ref="B10:B13"/>
    <mergeCell ref="C10:C13"/>
    <mergeCell ref="D10:D13"/>
    <mergeCell ref="E10:E13"/>
    <mergeCell ref="H10:H13"/>
    <mergeCell ref="A14:A17"/>
    <mergeCell ref="B14:B17"/>
    <mergeCell ref="C14:C17"/>
    <mergeCell ref="D14:D17"/>
    <mergeCell ref="E14:E17"/>
    <mergeCell ref="H22:H25"/>
    <mergeCell ref="A18:A21"/>
    <mergeCell ref="B18:B21"/>
    <mergeCell ref="C18:C21"/>
    <mergeCell ref="D18:D21"/>
    <mergeCell ref="E18:E21"/>
    <mergeCell ref="H18:H21"/>
    <mergeCell ref="A22:A25"/>
    <mergeCell ref="B22:B25"/>
    <mergeCell ref="C22:C25"/>
    <mergeCell ref="D22:D25"/>
    <mergeCell ref="E22:E25"/>
    <mergeCell ref="H30:H33"/>
    <mergeCell ref="A26:A29"/>
    <mergeCell ref="B26:B29"/>
    <mergeCell ref="C26:C29"/>
    <mergeCell ref="D26:D29"/>
    <mergeCell ref="E26:E29"/>
    <mergeCell ref="H26:H29"/>
    <mergeCell ref="A30:A33"/>
    <mergeCell ref="B30:B33"/>
    <mergeCell ref="C30:C33"/>
    <mergeCell ref="D30:D33"/>
    <mergeCell ref="E30:E33"/>
    <mergeCell ref="H38:H41"/>
    <mergeCell ref="A34:A37"/>
    <mergeCell ref="B34:B37"/>
    <mergeCell ref="C34:C37"/>
    <mergeCell ref="D34:D37"/>
    <mergeCell ref="E34:E37"/>
    <mergeCell ref="H34:H37"/>
    <mergeCell ref="A38:A41"/>
    <mergeCell ref="B38:B41"/>
    <mergeCell ref="C38:C41"/>
    <mergeCell ref="D38:D41"/>
    <mergeCell ref="E38:E41"/>
    <mergeCell ref="H46:H49"/>
    <mergeCell ref="A42:A45"/>
    <mergeCell ref="B42:B45"/>
    <mergeCell ref="C42:C45"/>
    <mergeCell ref="D42:D45"/>
    <mergeCell ref="E42:E45"/>
    <mergeCell ref="H42:H45"/>
    <mergeCell ref="A46:A49"/>
    <mergeCell ref="B46:B49"/>
    <mergeCell ref="C46:C49"/>
    <mergeCell ref="D46:D49"/>
    <mergeCell ref="E46:E49"/>
  </mergeCells>
  <pageMargins left="0.78740157480314965" right="0.39370078740157483" top="3.937007874015748E-2" bottom="3.937007874015748E-2" header="0.31496062992125984" footer="0.31496062992125984"/>
  <pageSetup paperSize="9" scale="65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6"/>
  <sheetViews>
    <sheetView zoomScale="80" zoomScaleNormal="80" workbookViewId="0">
      <selection activeCell="H38" sqref="H38:H53"/>
    </sheetView>
  </sheetViews>
  <sheetFormatPr defaultColWidth="8.88671875" defaultRowHeight="13.8"/>
  <cols>
    <col min="1" max="1" width="4.6640625" style="10" customWidth="1"/>
    <col min="2" max="2" width="61.33203125" style="10" customWidth="1"/>
    <col min="3" max="3" width="9.6640625" style="10" customWidth="1"/>
    <col min="4" max="4" width="9.5546875" style="10" customWidth="1"/>
    <col min="5" max="5" width="10.33203125" style="10" customWidth="1"/>
    <col min="6" max="6" width="21.33203125" style="10" customWidth="1"/>
    <col min="7" max="7" width="24.33203125" style="10" customWidth="1"/>
    <col min="8" max="8" width="31.88671875" style="10" customWidth="1"/>
    <col min="9" max="9" width="30.88671875" style="195" hidden="1" customWidth="1"/>
    <col min="10" max="10" width="36.44140625" style="10" customWidth="1"/>
    <col min="11" max="11" width="24.44140625" style="10" customWidth="1"/>
    <col min="12" max="16384" width="8.88671875" style="10"/>
  </cols>
  <sheetData>
    <row r="1" spans="1:10" ht="40.950000000000003" customHeight="1">
      <c r="A1" s="339"/>
      <c r="B1" s="988"/>
      <c r="C1" s="988"/>
      <c r="D1" s="988"/>
      <c r="E1" s="988"/>
      <c r="F1" s="590"/>
      <c r="G1" s="989" t="s">
        <v>1022</v>
      </c>
      <c r="H1" s="989"/>
      <c r="I1" s="194"/>
      <c r="J1" s="6"/>
    </row>
    <row r="2" spans="1:10" ht="18" customHeight="1">
      <c r="A2" s="990" t="s">
        <v>1001</v>
      </c>
      <c r="B2" s="990"/>
      <c r="C2" s="990"/>
      <c r="D2" s="990"/>
      <c r="E2" s="990"/>
      <c r="F2" s="990"/>
      <c r="G2" s="990"/>
      <c r="H2" s="990"/>
    </row>
    <row r="3" spans="1:10" ht="12.6" customHeight="1">
      <c r="A3" s="587"/>
      <c r="B3" s="587"/>
      <c r="C3" s="587"/>
      <c r="D3" s="587"/>
      <c r="E3" s="587"/>
      <c r="F3" s="587"/>
      <c r="G3" s="587"/>
      <c r="H3" s="591" t="s">
        <v>22</v>
      </c>
    </row>
    <row r="4" spans="1:10" ht="17.399999999999999" customHeight="1">
      <c r="A4" s="991" t="s">
        <v>0</v>
      </c>
      <c r="B4" s="992" t="s">
        <v>6</v>
      </c>
      <c r="C4" s="992" t="s">
        <v>17</v>
      </c>
      <c r="D4" s="992"/>
      <c r="E4" s="992" t="s">
        <v>8</v>
      </c>
      <c r="F4" s="992" t="s">
        <v>19</v>
      </c>
      <c r="G4" s="993" t="s">
        <v>4</v>
      </c>
      <c r="H4" s="992" t="s">
        <v>23</v>
      </c>
    </row>
    <row r="5" spans="1:10" ht="19.95" customHeight="1">
      <c r="A5" s="991"/>
      <c r="B5" s="992"/>
      <c r="C5" s="586" t="s">
        <v>7</v>
      </c>
      <c r="D5" s="586" t="s">
        <v>18</v>
      </c>
      <c r="E5" s="992"/>
      <c r="F5" s="992"/>
      <c r="G5" s="994"/>
      <c r="H5" s="992"/>
    </row>
    <row r="6" spans="1:10" ht="19.2" customHeight="1">
      <c r="A6" s="995"/>
      <c r="B6" s="978" t="s">
        <v>569</v>
      </c>
      <c r="C6" s="968" t="s">
        <v>9</v>
      </c>
      <c r="D6" s="968" t="s">
        <v>9</v>
      </c>
      <c r="E6" s="968" t="s">
        <v>9</v>
      </c>
      <c r="F6" s="504" t="s">
        <v>20</v>
      </c>
      <c r="G6" s="597">
        <f>G7+G8+G9</f>
        <v>639.21288000000004</v>
      </c>
      <c r="H6" s="985" t="s">
        <v>9</v>
      </c>
    </row>
    <row r="7" spans="1:10" ht="19.2" customHeight="1">
      <c r="A7" s="995"/>
      <c r="B7" s="978"/>
      <c r="C7" s="968"/>
      <c r="D7" s="968"/>
      <c r="E7" s="968"/>
      <c r="F7" s="504" t="s">
        <v>24</v>
      </c>
      <c r="G7" s="597">
        <f>G11</f>
        <v>0</v>
      </c>
      <c r="H7" s="986"/>
    </row>
    <row r="8" spans="1:10" ht="19.2" customHeight="1">
      <c r="A8" s="995"/>
      <c r="B8" s="996"/>
      <c r="C8" s="968"/>
      <c r="D8" s="968"/>
      <c r="E8" s="968"/>
      <c r="F8" s="504" t="s">
        <v>10</v>
      </c>
      <c r="G8" s="597">
        <f t="shared" ref="G8" si="0">G12</f>
        <v>581.10262</v>
      </c>
      <c r="H8" s="986"/>
    </row>
    <row r="9" spans="1:10" ht="19.2" customHeight="1">
      <c r="A9" s="995"/>
      <c r="B9" s="996"/>
      <c r="C9" s="968"/>
      <c r="D9" s="968"/>
      <c r="E9" s="968"/>
      <c r="F9" s="504" t="s">
        <v>11</v>
      </c>
      <c r="G9" s="597">
        <f>G13+G53</f>
        <v>58.110259999999997</v>
      </c>
      <c r="H9" s="987"/>
      <c r="J9" s="18"/>
    </row>
    <row r="10" spans="1:10" ht="19.2" customHeight="1">
      <c r="A10" s="977" t="s">
        <v>3</v>
      </c>
      <c r="B10" s="978" t="s">
        <v>656</v>
      </c>
      <c r="C10" s="968" t="s">
        <v>9</v>
      </c>
      <c r="D10" s="979" t="s">
        <v>9</v>
      </c>
      <c r="E10" s="968" t="s">
        <v>1000</v>
      </c>
      <c r="F10" s="504" t="s">
        <v>20</v>
      </c>
      <c r="G10" s="2">
        <f>G11+G12+G13</f>
        <v>639.21288000000004</v>
      </c>
      <c r="H10" s="982" t="s">
        <v>9</v>
      </c>
      <c r="I10" s="200">
        <f>I11+I12+I13</f>
        <v>15553.630299999999</v>
      </c>
      <c r="J10" s="184"/>
    </row>
    <row r="11" spans="1:10" ht="19.2" customHeight="1">
      <c r="A11" s="977"/>
      <c r="B11" s="978"/>
      <c r="C11" s="968"/>
      <c r="D11" s="980"/>
      <c r="E11" s="968"/>
      <c r="F11" s="593" t="s">
        <v>24</v>
      </c>
      <c r="G11" s="2">
        <f>G15+G39</f>
        <v>0</v>
      </c>
      <c r="H11" s="983"/>
      <c r="I11" s="18">
        <v>15382.70953</v>
      </c>
      <c r="J11" s="184"/>
    </row>
    <row r="12" spans="1:10" ht="19.2" customHeight="1">
      <c r="A12" s="977"/>
      <c r="B12" s="978"/>
      <c r="C12" s="968"/>
      <c r="D12" s="980"/>
      <c r="E12" s="968"/>
      <c r="F12" s="593" t="s">
        <v>10</v>
      </c>
      <c r="G12" s="2">
        <f t="shared" ref="G12:G13" si="1">G16+G40</f>
        <v>581.10262</v>
      </c>
      <c r="H12" s="983"/>
      <c r="I12" s="18">
        <v>155.38252</v>
      </c>
      <c r="J12" s="184"/>
    </row>
    <row r="13" spans="1:10" ht="19.2" customHeight="1">
      <c r="A13" s="977"/>
      <c r="B13" s="978"/>
      <c r="C13" s="968"/>
      <c r="D13" s="981"/>
      <c r="E13" s="968"/>
      <c r="F13" s="593" t="s">
        <v>11</v>
      </c>
      <c r="G13" s="2">
        <f t="shared" si="1"/>
        <v>58.110259999999997</v>
      </c>
      <c r="H13" s="984"/>
      <c r="I13" s="201">
        <v>15.53825</v>
      </c>
      <c r="J13" s="184"/>
    </row>
    <row r="14" spans="1:10" ht="19.2" customHeight="1">
      <c r="A14" s="975" t="s">
        <v>25</v>
      </c>
      <c r="B14" s="877" t="s">
        <v>1110</v>
      </c>
      <c r="C14" s="968" t="s">
        <v>27</v>
      </c>
      <c r="D14" s="972">
        <v>2440</v>
      </c>
      <c r="E14" s="968" t="s">
        <v>1000</v>
      </c>
      <c r="F14" s="504" t="s">
        <v>20</v>
      </c>
      <c r="G14" s="3">
        <f>G15+G16+G17+G18</f>
        <v>210.09676000000002</v>
      </c>
      <c r="H14" s="966" t="s">
        <v>84</v>
      </c>
      <c r="I14" s="197"/>
    </row>
    <row r="15" spans="1:10" ht="19.2" customHeight="1">
      <c r="A15" s="975"/>
      <c r="B15" s="877"/>
      <c r="C15" s="968"/>
      <c r="D15" s="973"/>
      <c r="E15" s="968"/>
      <c r="F15" s="593" t="s">
        <v>24</v>
      </c>
      <c r="G15" s="3">
        <v>0</v>
      </c>
      <c r="H15" s="966"/>
      <c r="I15" s="197" t="e">
        <f>G19+G23+#REF!+G27</f>
        <v>#REF!</v>
      </c>
      <c r="J15" s="18"/>
    </row>
    <row r="16" spans="1:10" ht="19.2" customHeight="1">
      <c r="A16" s="975"/>
      <c r="B16" s="877"/>
      <c r="C16" s="968"/>
      <c r="D16" s="973"/>
      <c r="E16" s="968"/>
      <c r="F16" s="593" t="s">
        <v>10</v>
      </c>
      <c r="G16" s="3">
        <v>190.99706</v>
      </c>
      <c r="H16" s="966"/>
      <c r="I16" s="197" t="e">
        <f>G20+G24+#REF!+G28</f>
        <v>#REF!</v>
      </c>
      <c r="J16" s="18"/>
    </row>
    <row r="17" spans="1:10" ht="19.2" customHeight="1">
      <c r="A17" s="975"/>
      <c r="B17" s="877"/>
      <c r="C17" s="968"/>
      <c r="D17" s="974"/>
      <c r="E17" s="968"/>
      <c r="F17" s="593" t="s">
        <v>11</v>
      </c>
      <c r="G17" s="3">
        <v>19.099699999999999</v>
      </c>
      <c r="H17" s="966"/>
      <c r="I17" s="197"/>
    </row>
    <row r="18" spans="1:10" ht="19.2" hidden="1" customHeight="1">
      <c r="A18" s="967" t="s">
        <v>12</v>
      </c>
      <c r="B18" s="878"/>
      <c r="C18" s="968" t="s">
        <v>27</v>
      </c>
      <c r="D18" s="972">
        <v>545</v>
      </c>
      <c r="E18" s="968" t="s">
        <v>517</v>
      </c>
      <c r="F18" s="504" t="s">
        <v>20</v>
      </c>
      <c r="G18" s="592"/>
      <c r="H18" s="966" t="s">
        <v>84</v>
      </c>
      <c r="I18" s="197"/>
    </row>
    <row r="19" spans="1:10" ht="19.2" hidden="1" customHeight="1">
      <c r="A19" s="967"/>
      <c r="B19" s="878"/>
      <c r="C19" s="968"/>
      <c r="D19" s="973"/>
      <c r="E19" s="968"/>
      <c r="F19" s="593" t="s">
        <v>24</v>
      </c>
      <c r="G19" s="595">
        <f>ROUND(G18*I19,5)</f>
        <v>0</v>
      </c>
      <c r="H19" s="966"/>
      <c r="I19" s="199">
        <f>ROUND(I11/I10,16)</f>
        <v>0.98901087612967098</v>
      </c>
      <c r="J19" s="202"/>
    </row>
    <row r="20" spans="1:10" ht="19.2" hidden="1" customHeight="1">
      <c r="A20" s="967"/>
      <c r="B20" s="878"/>
      <c r="C20" s="968"/>
      <c r="D20" s="973"/>
      <c r="E20" s="968"/>
      <c r="F20" s="593" t="s">
        <v>10</v>
      </c>
      <c r="G20" s="595">
        <f>ROUND(G18*I20,5)</f>
        <v>0</v>
      </c>
      <c r="H20" s="966"/>
      <c r="I20" s="199">
        <f>ROUND(I12/I10,16)</f>
        <v>9.9901127262874995E-3</v>
      </c>
      <c r="J20" s="202"/>
    </row>
    <row r="21" spans="1:10" ht="19.2" hidden="1" customHeight="1">
      <c r="A21" s="967"/>
      <c r="B21" s="878"/>
      <c r="C21" s="968"/>
      <c r="D21" s="974"/>
      <c r="E21" s="968"/>
      <c r="F21" s="593" t="s">
        <v>11</v>
      </c>
      <c r="G21" s="596">
        <f>G18-G19-G20</f>
        <v>0</v>
      </c>
      <c r="H21" s="966"/>
      <c r="I21" s="199">
        <f>ROUND(I13/I10,16)</f>
        <v>9.9901114404140007E-4</v>
      </c>
      <c r="J21" s="202"/>
    </row>
    <row r="22" spans="1:10" ht="19.2" hidden="1" customHeight="1">
      <c r="A22" s="967" t="s">
        <v>518</v>
      </c>
      <c r="B22" s="878"/>
      <c r="C22" s="968" t="s">
        <v>27</v>
      </c>
      <c r="D22" s="972">
        <v>1190</v>
      </c>
      <c r="E22" s="968" t="s">
        <v>517</v>
      </c>
      <c r="F22" s="504" t="s">
        <v>20</v>
      </c>
      <c r="G22" s="592"/>
      <c r="H22" s="966" t="s">
        <v>84</v>
      </c>
      <c r="I22" s="197"/>
    </row>
    <row r="23" spans="1:10" ht="19.2" hidden="1" customHeight="1">
      <c r="A23" s="967"/>
      <c r="B23" s="878"/>
      <c r="C23" s="968"/>
      <c r="D23" s="973"/>
      <c r="E23" s="968"/>
      <c r="F23" s="593" t="s">
        <v>24</v>
      </c>
      <c r="G23" s="595">
        <f>ROUND(G22*I19,5)</f>
        <v>0</v>
      </c>
      <c r="H23" s="966"/>
      <c r="I23" s="159"/>
      <c r="J23" s="18"/>
    </row>
    <row r="24" spans="1:10" ht="19.2" hidden="1" customHeight="1">
      <c r="A24" s="967"/>
      <c r="B24" s="878"/>
      <c r="C24" s="968"/>
      <c r="D24" s="973"/>
      <c r="E24" s="968"/>
      <c r="F24" s="593" t="s">
        <v>10</v>
      </c>
      <c r="G24" s="595">
        <f>ROUND(G22*I20,5)</f>
        <v>0</v>
      </c>
      <c r="H24" s="966"/>
      <c r="I24" s="159"/>
      <c r="J24" s="18"/>
    </row>
    <row r="25" spans="1:10" ht="19.2" hidden="1" customHeight="1">
      <c r="A25" s="967"/>
      <c r="B25" s="878"/>
      <c r="C25" s="968"/>
      <c r="D25" s="974"/>
      <c r="E25" s="968"/>
      <c r="F25" s="593" t="s">
        <v>11</v>
      </c>
      <c r="G25" s="596">
        <f>G22-G23-G24</f>
        <v>0</v>
      </c>
      <c r="H25" s="966"/>
      <c r="I25" s="159"/>
    </row>
    <row r="26" spans="1:10" ht="19.2" hidden="1" customHeight="1">
      <c r="A26" s="967" t="s">
        <v>519</v>
      </c>
      <c r="B26" s="878"/>
      <c r="C26" s="968" t="s">
        <v>27</v>
      </c>
      <c r="D26" s="972">
        <v>253</v>
      </c>
      <c r="E26" s="968" t="s">
        <v>517</v>
      </c>
      <c r="F26" s="504" t="s">
        <v>20</v>
      </c>
      <c r="G26" s="592"/>
      <c r="H26" s="966" t="s">
        <v>84</v>
      </c>
      <c r="I26" s="197"/>
    </row>
    <row r="27" spans="1:10" ht="19.2" hidden="1" customHeight="1">
      <c r="A27" s="967"/>
      <c r="B27" s="878"/>
      <c r="C27" s="968"/>
      <c r="D27" s="973"/>
      <c r="E27" s="968"/>
      <c r="F27" s="593" t="s">
        <v>24</v>
      </c>
      <c r="G27" s="595">
        <f>ROUND(G26*I19,5)</f>
        <v>0</v>
      </c>
      <c r="H27" s="966"/>
      <c r="I27" s="159"/>
      <c r="J27" s="18"/>
    </row>
    <row r="28" spans="1:10" ht="19.2" hidden="1" customHeight="1">
      <c r="A28" s="967"/>
      <c r="B28" s="878"/>
      <c r="C28" s="968"/>
      <c r="D28" s="973"/>
      <c r="E28" s="968"/>
      <c r="F28" s="593" t="s">
        <v>10</v>
      </c>
      <c r="G28" s="595">
        <f>ROUND(G26*I20,5)</f>
        <v>0</v>
      </c>
      <c r="H28" s="966"/>
      <c r="I28" s="159"/>
      <c r="J28" s="18"/>
    </row>
    <row r="29" spans="1:10" ht="19.2" hidden="1" customHeight="1">
      <c r="A29" s="967"/>
      <c r="B29" s="878"/>
      <c r="C29" s="968"/>
      <c r="D29" s="974"/>
      <c r="E29" s="968"/>
      <c r="F29" s="593" t="s">
        <v>11</v>
      </c>
      <c r="G29" s="596">
        <f>G26-G27-G28</f>
        <v>0</v>
      </c>
      <c r="H29" s="966"/>
      <c r="I29" s="159"/>
    </row>
    <row r="30" spans="1:10" ht="19.2" hidden="1" customHeight="1">
      <c r="A30" s="967" t="s">
        <v>520</v>
      </c>
      <c r="B30" s="878"/>
      <c r="C30" s="968" t="s">
        <v>27</v>
      </c>
      <c r="D30" s="972">
        <v>1035</v>
      </c>
      <c r="E30" s="968" t="s">
        <v>517</v>
      </c>
      <c r="F30" s="504" t="s">
        <v>20</v>
      </c>
      <c r="G30" s="592"/>
      <c r="H30" s="966" t="s">
        <v>84</v>
      </c>
      <c r="I30" s="197"/>
    </row>
    <row r="31" spans="1:10" ht="19.2" hidden="1" customHeight="1">
      <c r="A31" s="967"/>
      <c r="B31" s="878"/>
      <c r="C31" s="968"/>
      <c r="D31" s="973"/>
      <c r="E31" s="968"/>
      <c r="F31" s="593" t="s">
        <v>24</v>
      </c>
      <c r="G31" s="595">
        <f>ROUND(G30*I19,5)</f>
        <v>0</v>
      </c>
      <c r="H31" s="966"/>
      <c r="I31" s="159"/>
      <c r="J31" s="18"/>
    </row>
    <row r="32" spans="1:10" ht="19.2" hidden="1" customHeight="1">
      <c r="A32" s="967"/>
      <c r="B32" s="878"/>
      <c r="C32" s="968"/>
      <c r="D32" s="973"/>
      <c r="E32" s="968"/>
      <c r="F32" s="593" t="s">
        <v>10</v>
      </c>
      <c r="G32" s="595">
        <f>ROUND(G30*I20,5)</f>
        <v>0</v>
      </c>
      <c r="H32" s="966"/>
      <c r="I32" s="159"/>
      <c r="J32" s="18"/>
    </row>
    <row r="33" spans="1:10" ht="19.2" hidden="1" customHeight="1">
      <c r="A33" s="967"/>
      <c r="B33" s="878"/>
      <c r="C33" s="968"/>
      <c r="D33" s="974"/>
      <c r="E33" s="968"/>
      <c r="F33" s="593" t="s">
        <v>11</v>
      </c>
      <c r="G33" s="596">
        <f>G30-G31-G32</f>
        <v>0</v>
      </c>
      <c r="H33" s="966"/>
      <c r="I33" s="159"/>
    </row>
    <row r="34" spans="1:10" ht="19.2" hidden="1" customHeight="1">
      <c r="A34" s="967" t="s">
        <v>521</v>
      </c>
      <c r="B34" s="878"/>
      <c r="C34" s="968" t="s">
        <v>27</v>
      </c>
      <c r="D34" s="972">
        <v>457</v>
      </c>
      <c r="E34" s="968" t="s">
        <v>517</v>
      </c>
      <c r="F34" s="504" t="s">
        <v>20</v>
      </c>
      <c r="G34" s="592"/>
      <c r="H34" s="966" t="s">
        <v>84</v>
      </c>
      <c r="I34" s="209"/>
    </row>
    <row r="35" spans="1:10" ht="19.2" hidden="1" customHeight="1">
      <c r="A35" s="967"/>
      <c r="B35" s="878"/>
      <c r="C35" s="968"/>
      <c r="D35" s="973"/>
      <c r="E35" s="968"/>
      <c r="F35" s="593" t="s">
        <v>24</v>
      </c>
      <c r="G35" s="595">
        <f>ROUND(G34*I19,5)</f>
        <v>0</v>
      </c>
      <c r="H35" s="966"/>
      <c r="I35" s="206"/>
    </row>
    <row r="36" spans="1:10" ht="19.2" hidden="1" customHeight="1">
      <c r="A36" s="967"/>
      <c r="B36" s="878"/>
      <c r="C36" s="968"/>
      <c r="D36" s="973"/>
      <c r="E36" s="968"/>
      <c r="F36" s="593" t="s">
        <v>10</v>
      </c>
      <c r="G36" s="595">
        <f>ROUND(G34*I20,5)</f>
        <v>0</v>
      </c>
      <c r="H36" s="966"/>
      <c r="I36" s="18"/>
    </row>
    <row r="37" spans="1:10" ht="19.2" hidden="1" customHeight="1">
      <c r="A37" s="967"/>
      <c r="B37" s="878"/>
      <c r="C37" s="968"/>
      <c r="D37" s="974"/>
      <c r="E37" s="968"/>
      <c r="F37" s="593" t="s">
        <v>11</v>
      </c>
      <c r="G37" s="596">
        <f>G34-G35-G36</f>
        <v>0</v>
      </c>
      <c r="H37" s="966"/>
      <c r="I37" s="18"/>
    </row>
    <row r="38" spans="1:10" ht="19.2" customHeight="1">
      <c r="A38" s="975" t="s">
        <v>45</v>
      </c>
      <c r="B38" s="877" t="s">
        <v>364</v>
      </c>
      <c r="C38" s="968" t="s">
        <v>27</v>
      </c>
      <c r="D38" s="976">
        <v>5205</v>
      </c>
      <c r="E38" s="968" t="s">
        <v>1000</v>
      </c>
      <c r="F38" s="504" t="s">
        <v>20</v>
      </c>
      <c r="G38" s="3">
        <f>G39+G40+G41</f>
        <v>429.11612000000002</v>
      </c>
      <c r="H38" s="966" t="s">
        <v>84</v>
      </c>
      <c r="I38" s="198"/>
      <c r="J38" s="161"/>
    </row>
    <row r="39" spans="1:10" ht="19.2" customHeight="1">
      <c r="A39" s="975"/>
      <c r="B39" s="877"/>
      <c r="C39" s="968"/>
      <c r="D39" s="976"/>
      <c r="E39" s="968"/>
      <c r="F39" s="593" t="s">
        <v>24</v>
      </c>
      <c r="G39" s="213">
        <v>0</v>
      </c>
      <c r="H39" s="966"/>
      <c r="I39" s="198"/>
      <c r="J39" s="160"/>
    </row>
    <row r="40" spans="1:10" ht="19.2" customHeight="1">
      <c r="A40" s="975"/>
      <c r="B40" s="877"/>
      <c r="C40" s="968"/>
      <c r="D40" s="976"/>
      <c r="E40" s="968"/>
      <c r="F40" s="593" t="s">
        <v>10</v>
      </c>
      <c r="G40" s="213">
        <v>390.10556000000003</v>
      </c>
      <c r="H40" s="966"/>
      <c r="I40" s="198"/>
      <c r="J40" s="160"/>
    </row>
    <row r="41" spans="1:10" ht="19.2" customHeight="1">
      <c r="A41" s="975"/>
      <c r="B41" s="877"/>
      <c r="C41" s="968"/>
      <c r="D41" s="976"/>
      <c r="E41" s="968"/>
      <c r="F41" s="593" t="s">
        <v>11</v>
      </c>
      <c r="G41" s="213">
        <v>39.010559999999998</v>
      </c>
      <c r="H41" s="966"/>
      <c r="I41" s="198"/>
      <c r="J41" s="160"/>
    </row>
    <row r="42" spans="1:10" ht="19.2" hidden="1" customHeight="1">
      <c r="A42" s="967" t="s">
        <v>16</v>
      </c>
      <c r="B42" s="878" t="s">
        <v>450</v>
      </c>
      <c r="C42" s="968"/>
      <c r="D42" s="969">
        <v>500</v>
      </c>
      <c r="E42" s="968" t="s">
        <v>368</v>
      </c>
      <c r="F42" s="504" t="s">
        <v>20</v>
      </c>
      <c r="G42" s="592"/>
      <c r="H42" s="966" t="s">
        <v>84</v>
      </c>
      <c r="I42" s="203">
        <v>6023.9049999999997</v>
      </c>
    </row>
    <row r="43" spans="1:10" ht="19.2" hidden="1" customHeight="1">
      <c r="A43" s="967"/>
      <c r="B43" s="878"/>
      <c r="C43" s="968"/>
      <c r="D43" s="969"/>
      <c r="E43" s="968"/>
      <c r="F43" s="593" t="s">
        <v>24</v>
      </c>
      <c r="G43" s="594"/>
      <c r="H43" s="966"/>
      <c r="I43" s="203">
        <f>ROUND(I42*I19,5)</f>
        <v>5957.7075599999998</v>
      </c>
      <c r="J43" s="18"/>
    </row>
    <row r="44" spans="1:10" ht="19.2" hidden="1" customHeight="1">
      <c r="A44" s="967"/>
      <c r="B44" s="878"/>
      <c r="C44" s="968"/>
      <c r="D44" s="969"/>
      <c r="E44" s="968"/>
      <c r="F44" s="593" t="s">
        <v>10</v>
      </c>
      <c r="G44" s="594"/>
      <c r="H44" s="966"/>
      <c r="I44" s="203">
        <f>ROUND(I42*I20,5)</f>
        <v>60.179490000000001</v>
      </c>
      <c r="J44" s="18"/>
    </row>
    <row r="45" spans="1:10" ht="19.2" hidden="1" customHeight="1">
      <c r="A45" s="967"/>
      <c r="B45" s="878"/>
      <c r="C45" s="968"/>
      <c r="D45" s="969"/>
      <c r="E45" s="968"/>
      <c r="F45" s="593" t="s">
        <v>11</v>
      </c>
      <c r="G45" s="594"/>
      <c r="H45" s="966"/>
      <c r="I45" s="203">
        <f>I42-I43-I44</f>
        <v>6.0179499999999138</v>
      </c>
      <c r="J45" s="18"/>
    </row>
    <row r="46" spans="1:10" ht="19.2" hidden="1" customHeight="1">
      <c r="A46" s="970" t="s">
        <v>399</v>
      </c>
      <c r="B46" s="904"/>
      <c r="C46" s="968"/>
      <c r="D46" s="971"/>
      <c r="E46" s="968"/>
      <c r="F46" s="504" t="s">
        <v>20</v>
      </c>
      <c r="G46" s="592"/>
      <c r="H46" s="966" t="s">
        <v>84</v>
      </c>
      <c r="I46" s="159"/>
    </row>
    <row r="47" spans="1:10" ht="15.6" hidden="1" customHeight="1">
      <c r="A47" s="970"/>
      <c r="B47" s="904"/>
      <c r="C47" s="968"/>
      <c r="D47" s="971"/>
      <c r="E47" s="968"/>
      <c r="F47" s="593" t="s">
        <v>24</v>
      </c>
      <c r="G47" s="596"/>
      <c r="H47" s="966"/>
      <c r="I47" s="159"/>
    </row>
    <row r="48" spans="1:10" ht="13.2" hidden="1" customHeight="1">
      <c r="A48" s="970"/>
      <c r="B48" s="904"/>
      <c r="C48" s="968"/>
      <c r="D48" s="971"/>
      <c r="E48" s="968"/>
      <c r="F48" s="593" t="s">
        <v>10</v>
      </c>
      <c r="G48" s="596"/>
      <c r="H48" s="966"/>
      <c r="I48" s="159"/>
    </row>
    <row r="49" spans="1:17" ht="16.2" hidden="1" customHeight="1">
      <c r="A49" s="970"/>
      <c r="B49" s="904"/>
      <c r="C49" s="968"/>
      <c r="D49" s="971"/>
      <c r="E49" s="968"/>
      <c r="F49" s="593" t="s">
        <v>11</v>
      </c>
      <c r="G49" s="596"/>
      <c r="H49" s="966"/>
      <c r="I49" s="159"/>
      <c r="J49" s="17"/>
    </row>
    <row r="50" spans="1:17" ht="19.2" customHeight="1">
      <c r="A50" s="977" t="s">
        <v>48</v>
      </c>
      <c r="B50" s="997" t="s">
        <v>582</v>
      </c>
      <c r="C50" s="1000" t="s">
        <v>9</v>
      </c>
      <c r="D50" s="1000" t="s">
        <v>9</v>
      </c>
      <c r="E50" s="1000" t="s">
        <v>1164</v>
      </c>
      <c r="F50" s="504" t="s">
        <v>20</v>
      </c>
      <c r="G50" s="204">
        <f>G51+G52+G53</f>
        <v>0</v>
      </c>
      <c r="H50" s="966" t="s">
        <v>84</v>
      </c>
      <c r="I50" s="200"/>
      <c r="J50" s="394"/>
      <c r="K50" s="394"/>
      <c r="L50" s="395"/>
      <c r="M50" s="395"/>
      <c r="N50" s="395"/>
      <c r="O50" s="395"/>
      <c r="P50" s="395"/>
      <c r="Q50" s="395"/>
    </row>
    <row r="51" spans="1:17" ht="19.2" customHeight="1">
      <c r="A51" s="977"/>
      <c r="B51" s="998"/>
      <c r="C51" s="1000"/>
      <c r="D51" s="1000"/>
      <c r="E51" s="1000"/>
      <c r="F51" s="504" t="s">
        <v>24</v>
      </c>
      <c r="G51" s="204">
        <f>G55+G60</f>
        <v>0</v>
      </c>
      <c r="H51" s="966"/>
      <c r="I51" s="18"/>
      <c r="J51" s="394"/>
      <c r="K51" s="394"/>
      <c r="L51" s="395"/>
      <c r="M51" s="395"/>
      <c r="N51" s="395"/>
      <c r="O51" s="395"/>
      <c r="P51" s="395"/>
      <c r="Q51" s="395"/>
    </row>
    <row r="52" spans="1:17" ht="19.2" customHeight="1">
      <c r="A52" s="977"/>
      <c r="B52" s="998"/>
      <c r="C52" s="1000"/>
      <c r="D52" s="1000"/>
      <c r="E52" s="1000"/>
      <c r="F52" s="504" t="s">
        <v>10</v>
      </c>
      <c r="G52" s="204">
        <f>G56+G61</f>
        <v>0</v>
      </c>
      <c r="H52" s="966"/>
      <c r="I52" s="18"/>
      <c r="J52" s="394"/>
      <c r="K52" s="394"/>
      <c r="L52" s="395"/>
      <c r="M52" s="395"/>
      <c r="N52" s="395"/>
      <c r="O52" s="395"/>
      <c r="P52" s="395"/>
      <c r="Q52" s="395"/>
    </row>
    <row r="53" spans="1:17" ht="19.2" customHeight="1">
      <c r="A53" s="977"/>
      <c r="B53" s="999"/>
      <c r="C53" s="1000"/>
      <c r="D53" s="1000"/>
      <c r="E53" s="1000"/>
      <c r="F53" s="504" t="s">
        <v>11</v>
      </c>
      <c r="G53" s="204">
        <v>0</v>
      </c>
      <c r="H53" s="966"/>
      <c r="I53" s="201"/>
      <c r="J53" s="395"/>
      <c r="K53" s="395"/>
      <c r="L53" s="395"/>
      <c r="M53" s="395"/>
      <c r="N53" s="395"/>
      <c r="O53" s="395"/>
      <c r="P53" s="395"/>
      <c r="Q53" s="395"/>
    </row>
    <row r="54" spans="1:17">
      <c r="F54" s="20"/>
      <c r="G54" s="20"/>
    </row>
    <row r="55" spans="1:17">
      <c r="F55" s="20"/>
      <c r="G55" s="20"/>
    </row>
    <row r="56" spans="1:17">
      <c r="F56" s="20"/>
      <c r="G56" s="20"/>
      <c r="H56" s="339"/>
    </row>
    <row r="57" spans="1:17">
      <c r="F57" s="20"/>
      <c r="G57" s="20"/>
    </row>
    <row r="58" spans="1:17">
      <c r="F58" s="20"/>
      <c r="G58" s="20"/>
    </row>
    <row r="59" spans="1:17">
      <c r="F59" s="20"/>
      <c r="G59" s="20"/>
    </row>
    <row r="60" spans="1:17">
      <c r="F60" s="20"/>
      <c r="G60" s="20"/>
    </row>
    <row r="61" spans="1:17">
      <c r="F61" s="20"/>
      <c r="G61" s="20"/>
    </row>
    <row r="62" spans="1:17">
      <c r="F62" s="20"/>
      <c r="G62" s="20"/>
    </row>
    <row r="63" spans="1:17">
      <c r="F63" s="20"/>
      <c r="G63" s="20"/>
    </row>
    <row r="64" spans="1:17">
      <c r="F64" s="20"/>
      <c r="G64" s="20"/>
    </row>
    <row r="65" spans="6:7">
      <c r="F65" s="20"/>
      <c r="G65" s="20"/>
    </row>
    <row r="66" spans="6:7">
      <c r="F66" s="20"/>
      <c r="G66" s="20"/>
    </row>
    <row r="67" spans="6:7">
      <c r="F67" s="20"/>
      <c r="G67" s="20"/>
    </row>
    <row r="68" spans="6:7">
      <c r="F68" s="20"/>
      <c r="G68" s="20"/>
    </row>
    <row r="69" spans="6:7">
      <c r="F69" s="20"/>
      <c r="G69" s="20"/>
    </row>
    <row r="70" spans="6:7">
      <c r="F70" s="20"/>
      <c r="G70" s="20"/>
    </row>
    <row r="71" spans="6:7">
      <c r="F71" s="20"/>
      <c r="G71" s="20"/>
    </row>
    <row r="72" spans="6:7">
      <c r="F72" s="20"/>
      <c r="G72" s="20"/>
    </row>
    <row r="73" spans="6:7">
      <c r="F73" s="20"/>
      <c r="G73" s="20"/>
    </row>
    <row r="74" spans="6:7">
      <c r="F74" s="20"/>
      <c r="G74" s="20"/>
    </row>
    <row r="75" spans="6:7">
      <c r="F75" s="20"/>
      <c r="G75" s="20"/>
    </row>
    <row r="76" spans="6:7">
      <c r="F76" s="20"/>
      <c r="G76" s="20"/>
    </row>
    <row r="77" spans="6:7">
      <c r="F77" s="20"/>
      <c r="G77" s="20"/>
    </row>
    <row r="78" spans="6:7">
      <c r="F78" s="20"/>
      <c r="G78" s="20"/>
    </row>
    <row r="79" spans="6:7">
      <c r="F79" s="20"/>
      <c r="G79" s="20"/>
    </row>
    <row r="80" spans="6:7">
      <c r="F80" s="20"/>
      <c r="G80" s="20"/>
    </row>
    <row r="81" spans="6:7">
      <c r="F81" s="20"/>
      <c r="G81" s="20"/>
    </row>
    <row r="82" spans="6:7">
      <c r="F82" s="20"/>
      <c r="G82" s="20"/>
    </row>
    <row r="83" spans="6:7">
      <c r="F83" s="20"/>
      <c r="G83" s="20"/>
    </row>
    <row r="84" spans="6:7">
      <c r="F84" s="20"/>
      <c r="G84" s="20"/>
    </row>
    <row r="85" spans="6:7">
      <c r="F85" s="20"/>
      <c r="G85" s="20"/>
    </row>
    <row r="86" spans="6:7">
      <c r="F86" s="20"/>
      <c r="G86" s="20"/>
    </row>
    <row r="87" spans="6:7">
      <c r="F87" s="20"/>
      <c r="G87" s="20"/>
    </row>
    <row r="88" spans="6:7">
      <c r="F88" s="20"/>
      <c r="G88" s="20"/>
    </row>
    <row r="89" spans="6:7">
      <c r="F89" s="20"/>
      <c r="G89" s="20"/>
    </row>
    <row r="90" spans="6:7">
      <c r="F90" s="20"/>
      <c r="G90" s="20"/>
    </row>
    <row r="91" spans="6:7">
      <c r="F91" s="20"/>
      <c r="G91" s="20"/>
    </row>
    <row r="92" spans="6:7">
      <c r="F92" s="20"/>
      <c r="G92" s="20"/>
    </row>
    <row r="93" spans="6:7">
      <c r="F93" s="20"/>
      <c r="G93" s="20"/>
    </row>
    <row r="94" spans="6:7">
      <c r="F94" s="20"/>
      <c r="G94" s="20"/>
    </row>
    <row r="95" spans="6:7">
      <c r="F95" s="20"/>
      <c r="G95" s="20"/>
    </row>
    <row r="96" spans="6:7">
      <c r="F96" s="20"/>
      <c r="G96" s="20"/>
    </row>
  </sheetData>
  <mergeCells count="82">
    <mergeCell ref="H50:H53"/>
    <mergeCell ref="A50:A53"/>
    <mergeCell ref="B50:B53"/>
    <mergeCell ref="C50:C53"/>
    <mergeCell ref="D50:D53"/>
    <mergeCell ref="E50:E53"/>
    <mergeCell ref="H6:H9"/>
    <mergeCell ref="B1:E1"/>
    <mergeCell ref="G1:H1"/>
    <mergeCell ref="A2:H2"/>
    <mergeCell ref="A4:A5"/>
    <mergeCell ref="B4:B5"/>
    <mergeCell ref="C4:D4"/>
    <mergeCell ref="E4:E5"/>
    <mergeCell ref="F4:F5"/>
    <mergeCell ref="G4:G5"/>
    <mergeCell ref="H4:H5"/>
    <mergeCell ref="A6:A9"/>
    <mergeCell ref="B6:B9"/>
    <mergeCell ref="C6:C9"/>
    <mergeCell ref="D6:D9"/>
    <mergeCell ref="E6:E9"/>
    <mergeCell ref="H14:H17"/>
    <mergeCell ref="A10:A13"/>
    <mergeCell ref="B10:B13"/>
    <mergeCell ref="C10:C13"/>
    <mergeCell ref="D10:D13"/>
    <mergeCell ref="E10:E13"/>
    <mergeCell ref="H10:H13"/>
    <mergeCell ref="A14:A17"/>
    <mergeCell ref="B14:B17"/>
    <mergeCell ref="C14:C17"/>
    <mergeCell ref="D14:D17"/>
    <mergeCell ref="E14:E17"/>
    <mergeCell ref="H22:H25"/>
    <mergeCell ref="A18:A21"/>
    <mergeCell ref="B18:B21"/>
    <mergeCell ref="C18:C21"/>
    <mergeCell ref="D18:D21"/>
    <mergeCell ref="E18:E21"/>
    <mergeCell ref="H18:H21"/>
    <mergeCell ref="A22:A25"/>
    <mergeCell ref="B22:B25"/>
    <mergeCell ref="C22:C25"/>
    <mergeCell ref="D22:D25"/>
    <mergeCell ref="E22:E25"/>
    <mergeCell ref="H30:H33"/>
    <mergeCell ref="A26:A29"/>
    <mergeCell ref="B26:B29"/>
    <mergeCell ref="C26:C29"/>
    <mergeCell ref="D26:D29"/>
    <mergeCell ref="E26:E29"/>
    <mergeCell ref="H26:H29"/>
    <mergeCell ref="A30:A33"/>
    <mergeCell ref="B30:B33"/>
    <mergeCell ref="C30:C33"/>
    <mergeCell ref="D30:D33"/>
    <mergeCell ref="E30:E33"/>
    <mergeCell ref="H38:H41"/>
    <mergeCell ref="A34:A37"/>
    <mergeCell ref="B34:B37"/>
    <mergeCell ref="C34:C37"/>
    <mergeCell ref="D34:D37"/>
    <mergeCell ref="E34:E37"/>
    <mergeCell ref="H34:H37"/>
    <mergeCell ref="A38:A41"/>
    <mergeCell ref="B38:B41"/>
    <mergeCell ref="C38:C41"/>
    <mergeCell ref="D38:D41"/>
    <mergeCell ref="E38:E41"/>
    <mergeCell ref="H46:H49"/>
    <mergeCell ref="A42:A45"/>
    <mergeCell ref="B42:B45"/>
    <mergeCell ref="C42:C45"/>
    <mergeCell ref="D42:D45"/>
    <mergeCell ref="E42:E45"/>
    <mergeCell ref="H42:H45"/>
    <mergeCell ref="A46:A49"/>
    <mergeCell ref="B46:B49"/>
    <mergeCell ref="C46:C49"/>
    <mergeCell ref="D46:D49"/>
    <mergeCell ref="E46:E49"/>
  </mergeCells>
  <pageMargins left="0.78740157480314965" right="0.39370078740157483" top="3.937007874015748E-2" bottom="3.937007874015748E-2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10</vt:i4>
      </vt:variant>
    </vt:vector>
  </HeadingPairs>
  <TitlesOfParts>
    <vt:vector size="38" baseType="lpstr">
      <vt:lpstr>прил.1 фин. об.</vt:lpstr>
      <vt:lpstr>прил.2 Подп.1 </vt:lpstr>
      <vt:lpstr>прил.3 Подп.1  2018г</vt:lpstr>
      <vt:lpstr>прил.3.1 Подп.1  2019г </vt:lpstr>
      <vt:lpstr>прил.3.2 Подп.1 2020г </vt:lpstr>
      <vt:lpstr>прил.3.3 Подп.1 2021г</vt:lpstr>
      <vt:lpstr>прил.3.4 Подп.1  2022г </vt:lpstr>
      <vt:lpstr>прил.3.5 Подп.1  2023г </vt:lpstr>
      <vt:lpstr>прил.3.6 Подп.1  2024г </vt:lpstr>
      <vt:lpstr>прил.3.7 Подп.1 2025г</vt:lpstr>
      <vt:lpstr>Прил.4 Подп.2 2018г</vt:lpstr>
      <vt:lpstr>Прил.4.1 Подп.2 2019г</vt:lpstr>
      <vt:lpstr>Прил.4.2 Подп.2 2020г   </vt:lpstr>
      <vt:lpstr>Прил.4.3 Подп.2 2021г.</vt:lpstr>
      <vt:lpstr>Прил.4.4 Подп.2 2022г.</vt:lpstr>
      <vt:lpstr>Прил.4.5 Подп.2 2023г. </vt:lpstr>
      <vt:lpstr>Прил.4.6 Подп.2 2024г. </vt:lpstr>
      <vt:lpstr>Прил.4.7 Подп.2 2025г. </vt:lpstr>
      <vt:lpstr>прил.5 расчет</vt:lpstr>
      <vt:lpstr>прил.5.1 расчет 2019г</vt:lpstr>
      <vt:lpstr>прил.6 показ.-инд. </vt:lpstr>
      <vt:lpstr>прил.7перечень двор</vt:lpstr>
      <vt:lpstr>прил.7.1 адрес. пер.</vt:lpstr>
      <vt:lpstr>прил.8 перечень общ. тер. </vt:lpstr>
      <vt:lpstr>прил.8.1 общ. тер.</vt:lpstr>
      <vt:lpstr>прил.9 парк</vt:lpstr>
      <vt:lpstr>прил.10 юр. лица</vt:lpstr>
      <vt:lpstr>Лист1</vt:lpstr>
      <vt:lpstr>'Прил.4.4 Подп.2 2022г.'!Заголовки_для_печати</vt:lpstr>
      <vt:lpstr>'прил.6 показ.-инд. '!Заголовки_для_печати</vt:lpstr>
      <vt:lpstr>'прил.2 Подп.1 '!Область_печати</vt:lpstr>
      <vt:lpstr>'прил.3.2 Подп.1 2020г '!Область_печати</vt:lpstr>
      <vt:lpstr>'прил.3.3 Подп.1 2021г'!Область_печати</vt:lpstr>
      <vt:lpstr>'Прил.4.3 Подп.2 2021г.'!Область_печати</vt:lpstr>
      <vt:lpstr>'Прил.4.4 Подп.2 2022г.'!Область_печати</vt:lpstr>
      <vt:lpstr>'Прил.4.5 Подп.2 2023г. '!Область_печати</vt:lpstr>
      <vt:lpstr>'Прил.4.6 Подп.2 2024г. '!Область_печати</vt:lpstr>
      <vt:lpstr>'Прил.4.7 Подп.2 2025г.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2023-01-12T02:26:06Z</dcterms:modified>
</cp:coreProperties>
</file>